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yrevAE\Documents\Развитие модели ведения бизнеса\Продвижение и ДРП\КК Народное АСКУЭ\НАСКУЭ\"/>
    </mc:Choice>
  </mc:AlternateContent>
  <bookViews>
    <workbookView xWindow="13845" yWindow="45" windowWidth="13380" windowHeight="11760"/>
  </bookViews>
  <sheets>
    <sheet name="Общий лист" sheetId="7" r:id="rId1"/>
    <sheet name="Монтаж на сущ. место" sheetId="4" r:id="rId2"/>
    <sheet name="Монтаж на опоре" sheetId="8" r:id="rId3"/>
    <sheet name="Монтаж на фасаде" sheetId="10" r:id="rId4"/>
    <sheet name="ПУ в ТП" sheetId="11" r:id="rId5"/>
    <sheet name="Оборудование связи ПНР ПИР" sheetId="12" r:id="rId6"/>
    <sheet name="Замена отходящей линии" sheetId="14" r:id="rId7"/>
  </sheets>
  <definedNames>
    <definedName name="_xlnm.Print_Area" localSheetId="1">'Монтаж на сущ. место'!$A$1:$E$21</definedName>
  </definedNames>
  <calcPr calcId="152511" fullPrecision="0"/>
</workbook>
</file>

<file path=xl/calcChain.xml><?xml version="1.0" encoding="utf-8"?>
<calcChain xmlns="http://schemas.openxmlformats.org/spreadsheetml/2006/main">
  <c r="O7" i="7" l="1"/>
  <c r="N7" i="7"/>
  <c r="M7" i="7"/>
  <c r="D8" i="12"/>
  <c r="D7" i="12"/>
  <c r="D7" i="11"/>
  <c r="D6" i="10"/>
  <c r="D7" i="10"/>
  <c r="E7" i="8"/>
  <c r="E6" i="8"/>
  <c r="D8" i="4"/>
  <c r="D7" i="4"/>
  <c r="B10" i="4"/>
  <c r="B9" i="4"/>
  <c r="C24" i="8" l="1"/>
  <c r="C25" i="14" l="1"/>
  <c r="C24" i="14"/>
  <c r="C18" i="14"/>
  <c r="C17" i="14"/>
  <c r="C16" i="14"/>
  <c r="C15" i="14"/>
  <c r="C13" i="14"/>
  <c r="C12" i="14"/>
  <c r="C10" i="14"/>
  <c r="C9" i="14"/>
  <c r="A3" i="14"/>
  <c r="C11" i="14" l="1"/>
  <c r="C8" i="14"/>
  <c r="E11" i="14"/>
  <c r="E24" i="14"/>
  <c r="C14" i="14"/>
  <c r="E14" i="14" s="1"/>
  <c r="C14" i="12"/>
  <c r="C8" i="12"/>
  <c r="C16" i="12" s="1"/>
  <c r="C7" i="12"/>
  <c r="A3" i="12"/>
  <c r="B8" i="11"/>
  <c r="C7" i="11"/>
  <c r="C17" i="11" s="1"/>
  <c r="E17" i="11" s="1"/>
  <c r="B7" i="11"/>
  <c r="A3" i="11"/>
  <c r="C15" i="12" l="1"/>
  <c r="E15" i="12" s="1"/>
  <c r="C6" i="12"/>
  <c r="E6" i="12" s="1"/>
  <c r="E16" i="12"/>
  <c r="C11" i="12"/>
  <c r="C9" i="11"/>
  <c r="E9" i="11" s="1"/>
  <c r="C10" i="11"/>
  <c r="E10" i="11" s="1"/>
  <c r="C9" i="12"/>
  <c r="E9" i="12" s="1"/>
  <c r="C20" i="12"/>
  <c r="C8" i="11"/>
  <c r="C16" i="11"/>
  <c r="E16" i="11" s="1"/>
  <c r="C12" i="12"/>
  <c r="C21" i="12"/>
  <c r="E8" i="14"/>
  <c r="C8" i="4"/>
  <c r="C10" i="4" s="1"/>
  <c r="B8" i="4"/>
  <c r="C7" i="4"/>
  <c r="B7" i="4"/>
  <c r="A3" i="4"/>
  <c r="C18" i="11" l="1"/>
  <c r="E18" i="11" s="1"/>
  <c r="C10" i="12"/>
  <c r="E10" i="12" s="1"/>
  <c r="C15" i="4"/>
  <c r="C11" i="4"/>
  <c r="C13" i="12"/>
  <c r="E13" i="12" s="1"/>
  <c r="E10" i="4"/>
  <c r="E7" i="12"/>
  <c r="E7" i="4"/>
  <c r="C18" i="4"/>
  <c r="C15" i="11"/>
  <c r="C11" i="11"/>
  <c r="E11" i="11" s="1"/>
  <c r="C9" i="4"/>
  <c r="C16" i="4"/>
  <c r="E20" i="12"/>
  <c r="E8" i="11"/>
  <c r="B28" i="10"/>
  <c r="B27" i="10"/>
  <c r="C24" i="10"/>
  <c r="C23" i="10"/>
  <c r="E15" i="4" l="1"/>
  <c r="C22" i="10"/>
  <c r="C17" i="4"/>
  <c r="E9" i="4"/>
  <c r="E18" i="4"/>
  <c r="E16" i="4"/>
  <c r="E11" i="4"/>
  <c r="C7" i="10"/>
  <c r="C6" i="10"/>
  <c r="B6" i="10"/>
  <c r="A3" i="10"/>
  <c r="B41" i="8"/>
  <c r="B33" i="8"/>
  <c r="B32" i="8"/>
  <c r="C30" i="8"/>
  <c r="C29" i="8"/>
  <c r="C25" i="8"/>
  <c r="C23" i="8" s="1"/>
  <c r="C16" i="10" l="1"/>
  <c r="C18" i="10" s="1"/>
  <c r="C15" i="10"/>
  <c r="C14" i="10"/>
  <c r="C21" i="10"/>
  <c r="C13" i="10"/>
  <c r="C12" i="10"/>
  <c r="C11" i="10"/>
  <c r="C10" i="10"/>
  <c r="C17" i="10"/>
  <c r="C19" i="10" s="1"/>
  <c r="C20" i="10"/>
  <c r="H22" i="10"/>
  <c r="G22" i="10"/>
  <c r="E22" i="10" s="1"/>
  <c r="C32" i="10"/>
  <c r="E32" i="10" s="1"/>
  <c r="C25" i="10"/>
  <c r="C33" i="10"/>
  <c r="C26" i="10"/>
  <c r="E17" i="4"/>
  <c r="F29" i="8"/>
  <c r="I29" i="8" s="1"/>
  <c r="F30" i="8"/>
  <c r="E6" i="10"/>
  <c r="C8" i="10"/>
  <c r="C9" i="10"/>
  <c r="C14" i="8"/>
  <c r="C13" i="8"/>
  <c r="C7" i="8"/>
  <c r="C21" i="8" s="1"/>
  <c r="B7" i="8"/>
  <c r="B7" i="10" s="1"/>
  <c r="C6" i="8"/>
  <c r="B6" i="8"/>
  <c r="A3" i="8"/>
  <c r="C22" i="8" l="1"/>
  <c r="C20" i="8"/>
  <c r="C15" i="8"/>
  <c r="C18" i="8"/>
  <c r="C17" i="8"/>
  <c r="C16" i="8"/>
  <c r="C38" i="8"/>
  <c r="F38" i="8" s="1"/>
  <c r="C19" i="8"/>
  <c r="C28" i="10"/>
  <c r="C28" i="8"/>
  <c r="H6" i="10"/>
  <c r="H32" i="10"/>
  <c r="C37" i="8"/>
  <c r="C31" i="8"/>
  <c r="C27" i="8"/>
  <c r="C27" i="10"/>
  <c r="E8" i="10"/>
  <c r="H8" i="10" s="1"/>
  <c r="E26" i="10"/>
  <c r="G26" i="10" s="1"/>
  <c r="F6" i="8"/>
  <c r="C8" i="8"/>
  <c r="C9" i="8"/>
  <c r="C10" i="8"/>
  <c r="C12" i="8"/>
  <c r="E9" i="10"/>
  <c r="G9" i="10" s="1"/>
  <c r="E21" i="7"/>
  <c r="F23" i="8" l="1"/>
  <c r="C20" i="14"/>
  <c r="E20" i="14" s="1"/>
  <c r="C6" i="14"/>
  <c r="C19" i="14"/>
  <c r="C11" i="8"/>
  <c r="C32" i="8"/>
  <c r="E27" i="10"/>
  <c r="H27" i="10" s="1"/>
  <c r="C26" i="8"/>
  <c r="F37" i="8"/>
  <c r="F10" i="8"/>
  <c r="E7" i="11"/>
  <c r="F12" i="8"/>
  <c r="C33" i="8"/>
  <c r="F9" i="8"/>
  <c r="H9" i="8" s="1"/>
  <c r="I6" i="8"/>
  <c r="H30" i="8"/>
  <c r="F31" i="8"/>
  <c r="E28" i="10"/>
  <c r="G28" i="10" s="1"/>
  <c r="F8" i="8"/>
  <c r="I8" i="8" s="1"/>
  <c r="E19" i="14" l="1"/>
  <c r="C7" i="14"/>
  <c r="E6" i="14"/>
  <c r="I31" i="8"/>
  <c r="H31" i="8"/>
  <c r="H10" i="8"/>
  <c r="I10" i="8"/>
  <c r="F32" i="8"/>
  <c r="I32" i="8" s="1"/>
  <c r="H12" i="8"/>
  <c r="I12" i="8"/>
  <c r="E12" i="11"/>
  <c r="I37" i="8"/>
  <c r="F39" i="8"/>
  <c r="F26" i="8"/>
  <c r="F11" i="8"/>
  <c r="H32" i="7" l="1"/>
  <c r="G32" i="7"/>
  <c r="F32" i="7"/>
  <c r="H38" i="8"/>
  <c r="F35" i="7"/>
  <c r="E7" i="14"/>
  <c r="H11" i="8"/>
  <c r="I11" i="8"/>
  <c r="I34" i="8" s="1"/>
  <c r="I40" i="8" s="1"/>
  <c r="F7" i="8"/>
  <c r="H7" i="8" s="1"/>
  <c r="F33" i="8"/>
  <c r="H33" i="8" s="1"/>
  <c r="E25" i="10"/>
  <c r="E33" i="10"/>
  <c r="E7" i="10"/>
  <c r="E8" i="12"/>
  <c r="E11" i="12"/>
  <c r="E12" i="12"/>
  <c r="E14" i="12"/>
  <c r="E15" i="11"/>
  <c r="E19" i="11" s="1"/>
  <c r="E21" i="12"/>
  <c r="E22" i="12" s="1"/>
  <c r="E17" i="14"/>
  <c r="E18" i="14"/>
  <c r="E25" i="14"/>
  <c r="E26" i="14" s="1"/>
  <c r="I42" i="7" s="1"/>
  <c r="E19" i="4"/>
  <c r="H35" i="7" s="1"/>
  <c r="H37" i="7" l="1"/>
  <c r="G37" i="7"/>
  <c r="F37" i="7"/>
  <c r="F36" i="7"/>
  <c r="H36" i="7"/>
  <c r="G36" i="7"/>
  <c r="G7" i="10"/>
  <c r="G29" i="10" s="1"/>
  <c r="E8" i="4"/>
  <c r="E12" i="4" s="1"/>
  <c r="H31" i="7" s="1"/>
  <c r="F34" i="8"/>
  <c r="F31" i="7" s="1"/>
  <c r="H34" i="8"/>
  <c r="H40" i="8" s="1"/>
  <c r="F46" i="7" s="1"/>
  <c r="E17" i="12"/>
  <c r="E34" i="10"/>
  <c r="G35" i="7" s="1"/>
  <c r="G33" i="10"/>
  <c r="E21" i="14"/>
  <c r="I41" i="7" s="1"/>
  <c r="I43" i="7" s="1"/>
  <c r="H25" i="10"/>
  <c r="H29" i="10" s="1"/>
  <c r="H35" i="10" s="1"/>
  <c r="G47" i="7" s="1"/>
  <c r="E29" i="10"/>
  <c r="G31" i="7" s="1"/>
  <c r="F47" i="7"/>
  <c r="G33" i="7" l="1"/>
  <c r="G38" i="7" s="1"/>
  <c r="N4" i="7" s="1"/>
  <c r="N9" i="7" s="1"/>
  <c r="H33" i="7"/>
  <c r="H38" i="7" s="1"/>
  <c r="F33" i="7"/>
  <c r="F38" i="7" s="1"/>
  <c r="G35" i="10"/>
  <c r="G46" i="7" s="1"/>
  <c r="E21" i="4"/>
  <c r="F45" i="7" l="1"/>
  <c r="M4" i="7"/>
  <c r="M9" i="7" s="1"/>
  <c r="H45" i="7"/>
  <c r="O4" i="7"/>
  <c r="O9" i="7" s="1"/>
  <c r="H39" i="7"/>
  <c r="F39" i="7"/>
  <c r="G45" i="7"/>
  <c r="G39" i="7"/>
</calcChain>
</file>

<file path=xl/comments1.xml><?xml version="1.0" encoding="utf-8"?>
<comments xmlns="http://schemas.openxmlformats.org/spreadsheetml/2006/main">
  <authors>
    <author>Иванов Роман Владимирович</author>
  </authors>
  <commentList>
    <comment ref="E16" authorId="0" shapeId="0">
      <text>
        <r>
          <rPr>
            <b/>
            <sz val="8"/>
            <color indexed="81"/>
            <rFont val="Tahoma"/>
            <charset val="1"/>
          </rPr>
          <t>Иванов Роман Владимирович:</t>
        </r>
        <r>
          <rPr>
            <sz val="8"/>
            <color indexed="81"/>
            <rFont val="Tahoma"/>
            <charset val="1"/>
          </rPr>
          <t xml:space="preserve">
даже при значениях ноль считает</t>
        </r>
      </text>
    </comment>
  </commentList>
</comments>
</file>

<file path=xl/sharedStrings.xml><?xml version="1.0" encoding="utf-8"?>
<sst xmlns="http://schemas.openxmlformats.org/spreadsheetml/2006/main" count="360" uniqueCount="237">
  <si>
    <t>№ п/п</t>
  </si>
  <si>
    <t>Наименование затрат</t>
  </si>
  <si>
    <t>Кол., ед.</t>
  </si>
  <si>
    <t>Итого:</t>
  </si>
  <si>
    <t>4.1</t>
  </si>
  <si>
    <t>4.2</t>
  </si>
  <si>
    <t>2.1</t>
  </si>
  <si>
    <t>2.2</t>
  </si>
  <si>
    <t>2.4</t>
  </si>
  <si>
    <t>Организация технического учета – строительно-монтажные работы</t>
  </si>
  <si>
    <t>3.1</t>
  </si>
  <si>
    <t>3.2</t>
  </si>
  <si>
    <t>Организация коммерческого учета (на ТП)  – оборудование и материалы</t>
  </si>
  <si>
    <t>Организация коммерческого учета (на ТП)  – работы на ТП</t>
  </si>
  <si>
    <t>Замена ИКК</t>
  </si>
  <si>
    <t>5.1</t>
  </si>
  <si>
    <t>5.2</t>
  </si>
  <si>
    <t>Оборудование связи, монтаж оборудования связи, пусконаладочные работы</t>
  </si>
  <si>
    <t>6.2</t>
  </si>
  <si>
    <t>Всего:</t>
  </si>
  <si>
    <t>6.1</t>
  </si>
  <si>
    <t>4.3</t>
  </si>
  <si>
    <t>4.4</t>
  </si>
  <si>
    <t>5.3</t>
  </si>
  <si>
    <t>Монтаж и подключение роутера</t>
  </si>
  <si>
    <t>СПЕЦИФИКАЦИЯ</t>
  </si>
  <si>
    <t xml:space="preserve">оборудования </t>
  </si>
  <si>
    <t>Монтаж и подключение шлюза</t>
  </si>
  <si>
    <t>Организация технического учета (монтаж ПУ на фасаде) – оборудование и материалы</t>
  </si>
  <si>
    <t>Организация технического учета (монтаж ПУ на опорах) – оборудование и материалы</t>
  </si>
  <si>
    <t>3.3</t>
  </si>
  <si>
    <t>3.4</t>
  </si>
  <si>
    <t>Кабель ABBГ 2x1,5</t>
  </si>
  <si>
    <t>Бугель (Скрепа для бандажной ленты)</t>
  </si>
  <si>
    <t>5.4</t>
  </si>
  <si>
    <t>ИКК, шт.</t>
  </si>
  <si>
    <t>Бугель (Скрепа для бандажной ленты), шт.</t>
  </si>
  <si>
    <t>Замена петли учёта 3-ф трансформаторного счётчика</t>
  </si>
  <si>
    <t>Демонтаж, монтаж и подключение счётчиков электрической энергии</t>
  </si>
  <si>
    <t>Кабель NYM 4х2,5 для монтажа ПУ, м</t>
  </si>
  <si>
    <t xml:space="preserve">Монтаж и установка шкафа учета с 3ф счетчиком на опоре (без учета стоимости кабеля) (шт) </t>
  </si>
  <si>
    <t>Бандажная лента COT 37, м</t>
  </si>
  <si>
    <t>Кабель СИП 2х16 для монтажа приборов учёта (ПУ), м</t>
  </si>
  <si>
    <t>Демонтаж, монтаж и подключение трансформаторов тока 0,66 кВ</t>
  </si>
  <si>
    <t xml:space="preserve">Сумма ПСК,       с учетом НДС </t>
  </si>
  <si>
    <t>Монтаж и установка шкафа учета с 1ф счётчиком на опоре                                           (без учета стоимости кабеля) (шт)</t>
  </si>
  <si>
    <t>Коммуникационный шлюз, шт.</t>
  </si>
  <si>
    <t>Роутер РТ-01*, шт.</t>
  </si>
  <si>
    <t>Бандажная лента COT 37</t>
  </si>
  <si>
    <t>Автоматический выключатель ВА 47-29, 6А 1p ДЛЯ ШЛЮЗА-РОУТЕРОВ, шт.</t>
  </si>
  <si>
    <t>Шкаф пластиковый для 1-ф ПУ, шт.</t>
  </si>
  <si>
    <t>Итого по разделу 2:</t>
  </si>
  <si>
    <t>Организация технического учета (монтаж ПУ в домах) – оборудование и материалы</t>
  </si>
  <si>
    <t>Организация технического учета (монтаж ПУ в домах) – строительно-монтажные работы</t>
  </si>
  <si>
    <t>Шкаф пластик для 3-ф ПУ, шт.</t>
  </si>
  <si>
    <t>Итого по разделу 4:</t>
  </si>
  <si>
    <t>1.</t>
  </si>
  <si>
    <t>1.1</t>
  </si>
  <si>
    <t>Итого п разделу 3:</t>
  </si>
  <si>
    <t>Итого по разделу 5:</t>
  </si>
  <si>
    <t>2.</t>
  </si>
  <si>
    <t>3ф</t>
  </si>
  <si>
    <t>1ф</t>
  </si>
  <si>
    <t xml:space="preserve">Кабель СИП 4х16 для монтажа (ПУ), м </t>
  </si>
  <si>
    <t>Стяжка нейлоновая 300 мм</t>
  </si>
  <si>
    <t>Монтаж и установка шкафа учета с 1ф счётчиком на фасаде                                           (без учета стоимости кабеля) (шт)</t>
  </si>
  <si>
    <t xml:space="preserve">Монтаж и установка шкафа учета с 3ф счетчиком на фасаде (без учета стоимости кабеля) (шт) </t>
  </si>
  <si>
    <t>Тип магистральной линии</t>
  </si>
  <si>
    <t>Количество потребителей</t>
  </si>
  <si>
    <t>СИП</t>
  </si>
  <si>
    <t>Предпочтительное размещение ПУ</t>
  </si>
  <si>
    <t>опора</t>
  </si>
  <si>
    <t>СИП, шт</t>
  </si>
  <si>
    <t>Количество 1ф присоединений, шт, в т.ч.</t>
  </si>
  <si>
    <t>Предпочтительный номинал 1ф вводного автомата, А</t>
  </si>
  <si>
    <t>Предпочтительный номинал 3ф вводного автомата, А</t>
  </si>
  <si>
    <t>Прокалывающие зажимы Slip12.1, шт, в т.ч.</t>
  </si>
  <si>
    <t>для 1ф подключения (СИП 2 2*16) (СИП-СИП), шт.</t>
  </si>
  <si>
    <t>для 1ф подключения (ВЛ-СИП), шт.</t>
  </si>
  <si>
    <t>для 3ф подключения (СИП 2 4*16) (СИП-СИП), шт.</t>
  </si>
  <si>
    <t>для 3ф подключения (ВЛ-СИП), шт.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</si>
  <si>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</si>
  <si>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</si>
  <si>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</si>
  <si>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</si>
  <si>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</si>
  <si>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</si>
  <si>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</si>
  <si>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</si>
  <si>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</si>
  <si>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</si>
  <si>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</si>
  <si>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</si>
  <si>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</si>
  <si>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</si>
  <si>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Итого п разделу 2:</t>
  </si>
  <si>
    <t>Наименование СНТ</t>
  </si>
  <si>
    <t>Монтаж и пусконаладка</t>
  </si>
  <si>
    <t>оборудования  связи, ПНР и ПИР</t>
  </si>
  <si>
    <t>Оборудование и материалы ПУ на ТП</t>
  </si>
  <si>
    <t>Монтаж ПУ потребителя</t>
  </si>
  <si>
    <t>Монтаж ПУ в ТП</t>
  </si>
  <si>
    <t>Монтаж и ПНР оборудования связи</t>
  </si>
  <si>
    <t>Итого</t>
  </si>
  <si>
    <t>Опора</t>
  </si>
  <si>
    <t>Фасад</t>
  </si>
  <si>
    <t>Работы</t>
  </si>
  <si>
    <t>Оборудование связи и материалы для монтажа</t>
  </si>
  <si>
    <t>Неизол провод, шт</t>
  </si>
  <si>
    <t>Неизол провод</t>
  </si>
  <si>
    <t>Замена отходящих линий потербителей</t>
  </si>
  <si>
    <t>Материалы для замены отходящих линий потребителей</t>
  </si>
  <si>
    <t>Зажим "орех"  У859М 50-70/4-25 в т.ч.</t>
  </si>
  <si>
    <t>Замена отходящих линий потребителей</t>
  </si>
  <si>
    <t>Количество отходящих линий потребителей для замены на СИП, в т.ч.</t>
  </si>
  <si>
    <t>Кабель СИП 2х16 , м</t>
  </si>
  <si>
    <t xml:space="preserve">Кабель СИП 4х16, м </t>
  </si>
  <si>
    <t>Крюк универсальный</t>
  </si>
  <si>
    <t xml:space="preserve">Анкерный зажим </t>
  </si>
  <si>
    <t>Демонтаж, монтаж и подключение 1ф отходящей линии потребителя, шт</t>
  </si>
  <si>
    <t>Демонтаж, монтаж и подключение  3ф отходящей линии потребителя, шт</t>
  </si>
  <si>
    <t>Стоимость, р</t>
  </si>
  <si>
    <t>1.3.1</t>
  </si>
  <si>
    <t>1.3.2</t>
  </si>
  <si>
    <t>1.4.1</t>
  </si>
  <si>
    <t>1.4.2</t>
  </si>
  <si>
    <t>Оборудование для установки у потребителей</t>
  </si>
  <si>
    <t>Оборудование и материалы</t>
  </si>
  <si>
    <t>Труба гофрированная ПНД D=50мм, м</t>
  </si>
  <si>
    <t>нет</t>
  </si>
  <si>
    <t>Кабель проложить в трубе гофрированной светостабилизированной D50</t>
  </si>
  <si>
    <t>Высота установки ПУ на опоре, м</t>
  </si>
  <si>
    <t>затраты на 3-ф</t>
  </si>
  <si>
    <t>затраты на 1-a</t>
  </si>
  <si>
    <t>3ф ПУ</t>
  </si>
  <si>
    <t>1ф ПУ</t>
  </si>
  <si>
    <t>Итого в среднем на  один ПУ</t>
  </si>
  <si>
    <t>Количество 3ф присоединений, шт в т.ч.</t>
  </si>
  <si>
    <t>Зажим "орех"  У734М 16-35/16-25 в т.ч.</t>
  </si>
  <si>
    <t>для подключения 3ф ПУ (СИП ПУ - СИП ОЛ или Неизолир провод ОЛ)</t>
  </si>
  <si>
    <t>для подключения 1ф ПУ (СИП ПУ - СИП ОЛ или Неизолир провод ОЛ)</t>
  </si>
  <si>
    <t>Прокалывающие зажимы, шт, в т.ч.</t>
  </si>
  <si>
    <t>Зажим "орех" У734М 16-35/16-25 в т.ч.</t>
  </si>
  <si>
    <t>1.8.2</t>
  </si>
  <si>
    <t>Количество счетчиков на ТП</t>
  </si>
  <si>
    <t>для подключения 1ф ПУ (Неизолир провод ВЛ - СИП ПУ)</t>
  </si>
  <si>
    <t>для подключения 3ф ПУ (Неизолир провод ВЛ - СИП ПУ)</t>
  </si>
  <si>
    <t>1.8.1</t>
  </si>
  <si>
    <t>Количество шлюзов/роутеров</t>
  </si>
  <si>
    <t>для 3ф подключения (СИП 2 4*16 - неизолир. ВЛ), шт.</t>
  </si>
  <si>
    <t>для 1ф подключения (СИП 2 2*16 - неизолир. ВЛ), шт.</t>
  </si>
  <si>
    <t>Зажим "орех" У 859М 50-70/4-25 в т.ч.</t>
  </si>
  <si>
    <t>Установка ПУ</t>
  </si>
  <si>
    <t>Замена отходящей линии</t>
  </si>
  <si>
    <t>Итого в среднем установка 1-ф  ПУ с учетом замены отходящей линии</t>
  </si>
  <si>
    <t>Итого в среднем установка 3-ф  ПУ с учетом замены отходящей линии</t>
  </si>
  <si>
    <t>1.16</t>
  </si>
  <si>
    <t>1.17</t>
  </si>
  <si>
    <t>Комплект крепежа трансформаторов тока, шт.</t>
  </si>
  <si>
    <t>оборудования для замены отходящей линии</t>
  </si>
  <si>
    <t>оборудования ПУ в ТП</t>
  </si>
  <si>
    <t>оборудования ПУ на опоре</t>
  </si>
  <si>
    <t>оборудования  ПУ на фасаде</t>
  </si>
  <si>
    <t>Итого установка  ПУ с учетом замены отходящей линии</t>
  </si>
  <si>
    <t>3.</t>
  </si>
  <si>
    <t>3.5</t>
  </si>
  <si>
    <t>4</t>
  </si>
  <si>
    <t>5.5</t>
  </si>
  <si>
    <t>5.6</t>
  </si>
  <si>
    <t>5.7</t>
  </si>
  <si>
    <t>5.8</t>
  </si>
  <si>
    <t>5.9</t>
  </si>
  <si>
    <t>5.10</t>
  </si>
  <si>
    <t>Итого по разделу 6:</t>
  </si>
  <si>
    <t>Итого по разделу 3:</t>
  </si>
  <si>
    <t>Бугель (Скрепа для бандажной ленты), шт</t>
  </si>
  <si>
    <t>Щит ЩРНп -3(навесной, пластиковый, на 1/3 модуля)</t>
  </si>
  <si>
    <t>Дин-рейка</t>
  </si>
  <si>
    <t>5.11</t>
  </si>
  <si>
    <t>Замена автоматического выкоючателя</t>
  </si>
  <si>
    <t>Замена петли учета</t>
  </si>
  <si>
    <t>ПВ-1 1х6</t>
  </si>
  <si>
    <t>Монтаж и установка в доме шкафа учета с 1ф счётчиком и автоматом, шт.</t>
  </si>
  <si>
    <t>Монтаж и установка шкафа учета с 3ф счётчиком и автоматом, шт.</t>
  </si>
  <si>
    <t>Южное</t>
  </si>
  <si>
    <t>Цена Подрядчика    за ед.</t>
  </si>
  <si>
    <t xml:space="preserve">Сумма Подрядчика,       с учетом НДС </t>
  </si>
  <si>
    <t>Энергомера 1ф</t>
  </si>
  <si>
    <t>Энергомера 3ф</t>
  </si>
  <si>
    <t>Энергомера 3фТ</t>
  </si>
  <si>
    <t>Зажим анкерный РА25, шт.</t>
  </si>
  <si>
    <t>Анкерный болт М10/12х100 с кольцом, шт.</t>
  </si>
  <si>
    <t>Анкерный кронштейн типа СА-16, шт.</t>
  </si>
  <si>
    <t>Стяжка нейлоновая устойчивая к УФ  L=300 мм.</t>
  </si>
  <si>
    <t>Наконечник-гильза НГ 16-12</t>
  </si>
  <si>
    <t>Наконечник-гильза НГ 16-18</t>
  </si>
  <si>
    <t>Гофрированная труба из не распространяющего горения полиамида д=25 мм (DKC), м</t>
  </si>
  <si>
    <t>Гофрированная труба из не распространяющего горения полиамида д=32 мм (DKC), м</t>
  </si>
  <si>
    <t>на 1 ПУ</t>
  </si>
  <si>
    <t>Лента бандажная металлическая F 19.07, м.</t>
  </si>
  <si>
    <t>Скрепа Бугель А20</t>
  </si>
  <si>
    <t>Герметичный прокалывающий зажим, шт.</t>
  </si>
  <si>
    <t>Скоба однолапковая д=25</t>
  </si>
  <si>
    <t>Скоба однолапковая д=32</t>
  </si>
  <si>
    <t>1.17.1</t>
  </si>
  <si>
    <t>1.17.2</t>
  </si>
  <si>
    <t>1.18</t>
  </si>
  <si>
    <t>1.19</t>
  </si>
  <si>
    <t>1.20</t>
  </si>
  <si>
    <t>1.21</t>
  </si>
  <si>
    <t>1.18.1</t>
  </si>
  <si>
    <t>1.18.2</t>
  </si>
  <si>
    <t>1.22</t>
  </si>
  <si>
    <t>1.23</t>
  </si>
  <si>
    <t>В случае установки на фасаде или опоре</t>
  </si>
  <si>
    <t>Сущ. Место</t>
  </si>
  <si>
    <t>Количество приборов на границе балансовой принадлежности</t>
  </si>
  <si>
    <t>Указывается общее число потребителей</t>
  </si>
  <si>
    <t>Указывается количество однофазных абонентов</t>
  </si>
  <si>
    <t>Указывается номинал автоматического выключателя</t>
  </si>
  <si>
    <t>Указывается количество трехфазных абонентов</t>
  </si>
  <si>
    <t>В случае замены отходящей линии на СИП</t>
  </si>
  <si>
    <t>При необходимости</t>
  </si>
  <si>
    <t>Тип 1ф ПУ ZigBee</t>
  </si>
  <si>
    <t>Тип 3ф ПУ ZigBee</t>
  </si>
  <si>
    <t>Тип 3ф ПУ  на ТП ZigBee</t>
  </si>
  <si>
    <t>Роутер ZigBee</t>
  </si>
  <si>
    <t>Шлюз/УСПД ZigBee</t>
  </si>
  <si>
    <t>Технико-экономическое обоснование</t>
  </si>
  <si>
    <t>Итого стоимость системы</t>
  </si>
  <si>
    <t>Тип установки (фасад/опора/сущ. место)</t>
  </si>
  <si>
    <t>Показания балансного прибора за год, кВт*ч</t>
  </si>
  <si>
    <t>Сумма показаний потребителей, кВт*ч</t>
  </si>
  <si>
    <t>Разница, кВт*ч</t>
  </si>
  <si>
    <t>Тариф, руб./кВт*ч</t>
  </si>
  <si>
    <t>Сорк окупаемости, лет</t>
  </si>
  <si>
    <t>Цена, за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</si>
</sst>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5" formatCode="#,##0.0"/>
    <numFmt numFmtId="166" formatCode="#,##0.00&quot;р.&quot;"/>
    <numFmt numFmtId="167" formatCode="#,##0.00_р_."/>
    <numFmt numFmtId="168" formatCode="_-* #,##0.00_₽_-;\-* #,##0.00_₽_-;_-* &quot;-&quot;??_₽_-;_-@_-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4" fillId="0" borderId="0"/>
    <xf numFmtId="0" fontId="15" fillId="0" borderId="0"/>
    <xf numFmtId="168" fontId="13" fillId="0" borderId="0" applyFont="0" applyFill="0" applyBorder="0" applyAlignment="0" applyProtection="0"/>
    <xf numFmtId="0" fontId="16" fillId="0" borderId="0"/>
    <xf numFmtId="0" fontId="17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</cellStyleXfs>
  <cellXfs count="229">
    <xf numFmtId="0" fontId="0" fillId="0" borderId="0" xfId="0"/>
    <xf numFmtId="4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justify" wrapText="1"/>
    </xf>
    <xf numFmtId="49" fontId="3" fillId="0" borderId="1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/>
    <xf numFmtId="4" fontId="4" fillId="6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wrapText="1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justify" wrapText="1"/>
    </xf>
    <xf numFmtId="4" fontId="3" fillId="5" borderId="5" xfId="0" applyNumberFormat="1" applyFont="1" applyFill="1" applyBorder="1" applyAlignment="1">
      <alignment horizontal="center"/>
    </xf>
    <xf numFmtId="0" fontId="3" fillId="0" borderId="0" xfId="0" applyFont="1" applyBorder="1"/>
    <xf numFmtId="4" fontId="4" fillId="6" borderId="5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3" fillId="4" borderId="5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0" fillId="2" borderId="0" xfId="0" applyNumberFormat="1" applyFill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4" fillId="2" borderId="1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0" fillId="0" borderId="0" xfId="0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justify" wrapText="1"/>
    </xf>
    <xf numFmtId="4" fontId="3" fillId="0" borderId="0" xfId="0" applyNumberFormat="1" applyFont="1" applyBorder="1" applyAlignment="1">
      <alignment horizontal="center" vertical="center"/>
    </xf>
    <xf numFmtId="4" fontId="3" fillId="5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center" vertical="center"/>
    </xf>
    <xf numFmtId="4" fontId="4" fillId="6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3" fillId="0" borderId="6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4" fillId="0" borderId="8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 wrapText="1"/>
      <protection locked="0"/>
    </xf>
    <xf numFmtId="0" fontId="7" fillId="8" borderId="1" xfId="0" applyFont="1" applyFill="1" applyBorder="1" applyAlignment="1" applyProtection="1">
      <alignment wrapText="1"/>
      <protection locked="0"/>
    </xf>
    <xf numFmtId="18" fontId="8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0" fontId="7" fillId="0" borderId="12" xfId="0" applyFont="1" applyBorder="1" applyAlignment="1" applyProtection="1">
      <alignment wrapText="1"/>
    </xf>
    <xf numFmtId="0" fontId="7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9" xfId="0" applyFont="1" applyBorder="1" applyProtection="1"/>
    <xf numFmtId="0" fontId="8" fillId="8" borderId="2" xfId="0" applyFont="1" applyFill="1" applyBorder="1" applyAlignment="1" applyProtection="1">
      <alignment wrapText="1"/>
    </xf>
    <xf numFmtId="0" fontId="7" fillId="8" borderId="3" xfId="0" applyFont="1" applyFill="1" applyBorder="1" applyAlignment="1" applyProtection="1">
      <alignment wrapText="1"/>
    </xf>
    <xf numFmtId="0" fontId="7" fillId="8" borderId="3" xfId="0" applyFont="1" applyFill="1" applyBorder="1" applyAlignment="1" applyProtection="1">
      <alignment horizontal="center" vertical="center"/>
    </xf>
    <xf numFmtId="0" fontId="7" fillId="8" borderId="14" xfId="0" applyFont="1" applyFill="1" applyBorder="1" applyProtection="1"/>
    <xf numFmtId="0" fontId="7" fillId="0" borderId="20" xfId="0" applyFont="1" applyBorder="1" applyAlignment="1" applyProtection="1">
      <alignment wrapText="1"/>
    </xf>
    <xf numFmtId="0" fontId="7" fillId="0" borderId="5" xfId="0" applyFont="1" applyBorder="1" applyAlignment="1" applyProtection="1">
      <alignment wrapText="1"/>
    </xf>
    <xf numFmtId="167" fontId="7" fillId="0" borderId="5" xfId="0" applyNumberFormat="1" applyFont="1" applyBorder="1" applyAlignment="1" applyProtection="1">
      <alignment horizontal="center" vertical="center"/>
    </xf>
    <xf numFmtId="167" fontId="7" fillId="0" borderId="21" xfId="0" applyNumberFormat="1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167" fontId="7" fillId="0" borderId="1" xfId="0" applyNumberFormat="1" applyFont="1" applyBorder="1" applyAlignment="1" applyProtection="1">
      <alignment horizontal="center" vertical="center"/>
    </xf>
    <xf numFmtId="167" fontId="7" fillId="0" borderId="23" xfId="0" applyNumberFormat="1" applyFont="1" applyBorder="1" applyAlignment="1" applyProtection="1">
      <alignment horizontal="center" vertical="center"/>
    </xf>
    <xf numFmtId="166" fontId="7" fillId="0" borderId="5" xfId="0" applyNumberFormat="1" applyFont="1" applyBorder="1" applyAlignment="1" applyProtection="1">
      <alignment horizontal="center" vertical="center"/>
    </xf>
    <xf numFmtId="166" fontId="7" fillId="0" borderId="21" xfId="0" applyNumberFormat="1" applyFont="1" applyBorder="1" applyAlignment="1" applyProtection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</xf>
    <xf numFmtId="166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wrapText="1"/>
    </xf>
    <xf numFmtId="0" fontId="7" fillId="0" borderId="4" xfId="0" applyFont="1" applyBorder="1" applyAlignment="1" applyProtection="1">
      <alignment wrapText="1"/>
    </xf>
    <xf numFmtId="167" fontId="7" fillId="0" borderId="29" xfId="0" applyNumberFormat="1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wrapText="1"/>
    </xf>
    <xf numFmtId="166" fontId="7" fillId="0" borderId="0" xfId="0" applyNumberFormat="1" applyFont="1" applyBorder="1" applyAlignment="1" applyProtection="1">
      <alignment horizontal="center" vertical="center"/>
    </xf>
    <xf numFmtId="166" fontId="7" fillId="0" borderId="29" xfId="0" applyNumberFormat="1" applyFont="1" applyBorder="1" applyAlignment="1" applyProtection="1">
      <alignment horizontal="center" vertical="center"/>
    </xf>
    <xf numFmtId="166" fontId="7" fillId="0" borderId="31" xfId="0" applyNumberFormat="1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Protection="1"/>
    <xf numFmtId="4" fontId="4" fillId="6" borderId="33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/>
    </xf>
    <xf numFmtId="0" fontId="3" fillId="0" borderId="35" xfId="0" applyFont="1" applyBorder="1" applyAlignment="1">
      <alignment wrapText="1"/>
    </xf>
    <xf numFmtId="1" fontId="3" fillId="0" borderId="35" xfId="0" applyNumberFormat="1" applyFont="1" applyFill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5" borderId="36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/>
    </xf>
    <xf numFmtId="4" fontId="3" fillId="5" borderId="23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justify" wrapText="1"/>
    </xf>
    <xf numFmtId="0" fontId="7" fillId="0" borderId="34" xfId="0" applyFont="1" applyBorder="1" applyAlignment="1" applyProtection="1">
      <alignment wrapText="1"/>
    </xf>
    <xf numFmtId="0" fontId="7" fillId="0" borderId="39" xfId="0" applyFont="1" applyBorder="1" applyAlignment="1" applyProtection="1">
      <alignment wrapText="1"/>
    </xf>
    <xf numFmtId="167" fontId="7" fillId="0" borderId="35" xfId="0" applyNumberFormat="1" applyFont="1" applyBorder="1" applyAlignment="1" applyProtection="1">
      <alignment horizontal="center" vertical="center"/>
    </xf>
    <xf numFmtId="0" fontId="7" fillId="0" borderId="40" xfId="0" applyFont="1" applyBorder="1" applyProtection="1"/>
    <xf numFmtId="167" fontId="7" fillId="0" borderId="25" xfId="0" applyNumberFormat="1" applyFont="1" applyBorder="1" applyAlignment="1" applyProtection="1">
      <alignment horizontal="center" vertical="center"/>
    </xf>
    <xf numFmtId="167" fontId="7" fillId="0" borderId="36" xfId="0" applyNumberFormat="1" applyFont="1" applyBorder="1" applyAlignment="1" applyProtection="1">
      <alignment horizontal="center" vertical="center"/>
    </xf>
    <xf numFmtId="167" fontId="7" fillId="0" borderId="26" xfId="0" applyNumberFormat="1" applyFont="1" applyBorder="1" applyAlignment="1" applyProtection="1">
      <alignment horizontal="center" vertical="center"/>
    </xf>
    <xf numFmtId="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9" fillId="6" borderId="41" xfId="0" applyFont="1" applyFill="1" applyBorder="1" applyAlignment="1" applyProtection="1">
      <alignment wrapText="1"/>
    </xf>
    <xf numFmtId="0" fontId="9" fillId="6" borderId="0" xfId="0" applyFont="1" applyFill="1" applyBorder="1" applyAlignment="1" applyProtection="1">
      <alignment wrapText="1"/>
    </xf>
    <xf numFmtId="4" fontId="9" fillId="6" borderId="29" xfId="0" applyNumberFormat="1" applyFont="1" applyFill="1" applyBorder="1" applyAlignment="1" applyProtection="1">
      <alignment horizontal="center" vertical="center"/>
    </xf>
    <xf numFmtId="0" fontId="9" fillId="8" borderId="8" xfId="0" applyFont="1" applyFill="1" applyBorder="1" applyAlignment="1" applyProtection="1">
      <alignment wrapText="1"/>
    </xf>
    <xf numFmtId="0" fontId="9" fillId="8" borderId="3" xfId="0" applyFont="1" applyFill="1" applyBorder="1" applyAlignment="1" applyProtection="1">
      <alignment wrapText="1"/>
    </xf>
    <xf numFmtId="4" fontId="9" fillId="8" borderId="2" xfId="0" applyNumberFormat="1" applyFont="1" applyFill="1" applyBorder="1" applyAlignment="1" applyProtection="1">
      <alignment horizontal="center" vertical="center"/>
    </xf>
    <xf numFmtId="4" fontId="9" fillId="8" borderId="8" xfId="0" applyNumberFormat="1" applyFont="1" applyFill="1" applyBorder="1" applyAlignment="1" applyProtection="1">
      <alignment horizontal="center" vertical="center"/>
    </xf>
    <xf numFmtId="4" fontId="9" fillId="8" borderId="14" xfId="0" applyNumberFormat="1" applyFont="1" applyFill="1" applyBorder="1" applyAlignment="1" applyProtection="1">
      <alignment horizontal="center" vertical="center"/>
    </xf>
    <xf numFmtId="2" fontId="7" fillId="8" borderId="1" xfId="0" applyNumberFormat="1" applyFont="1" applyFill="1" applyBorder="1" applyAlignment="1" applyProtection="1">
      <alignment horizontal="center" vertical="center"/>
    </xf>
    <xf numFmtId="4" fontId="4" fillId="10" borderId="1" xfId="0" applyNumberFormat="1" applyFont="1" applyFill="1" applyBorder="1" applyAlignment="1">
      <alignment horizontal="center" vertical="center" wrapText="1"/>
    </xf>
    <xf numFmtId="0" fontId="7" fillId="0" borderId="47" xfId="0" applyFont="1" applyBorder="1" applyAlignment="1" applyProtection="1">
      <alignment horizontal="center" vertical="center"/>
    </xf>
    <xf numFmtId="167" fontId="7" fillId="0" borderId="45" xfId="0" applyNumberFormat="1" applyFont="1" applyBorder="1" applyAlignment="1" applyProtection="1">
      <alignment horizontal="center" vertical="center"/>
    </xf>
    <xf numFmtId="167" fontId="7" fillId="0" borderId="10" xfId="0" applyNumberFormat="1" applyFont="1" applyBorder="1" applyAlignment="1" applyProtection="1">
      <alignment horizontal="center" vertical="center"/>
    </xf>
    <xf numFmtId="166" fontId="7" fillId="0" borderId="45" xfId="0" applyNumberFormat="1" applyFont="1" applyBorder="1" applyAlignment="1" applyProtection="1">
      <alignment horizontal="center" vertical="center"/>
    </xf>
    <xf numFmtId="166" fontId="7" fillId="0" borderId="10" xfId="0" applyNumberFormat="1" applyFont="1" applyBorder="1" applyAlignment="1" applyProtection="1">
      <alignment horizontal="center" vertical="center"/>
    </xf>
    <xf numFmtId="167" fontId="7" fillId="0" borderId="0" xfId="0" applyNumberFormat="1" applyFont="1" applyBorder="1" applyAlignment="1" applyProtection="1">
      <alignment horizontal="center" vertical="center"/>
    </xf>
    <xf numFmtId="4" fontId="7" fillId="8" borderId="8" xfId="0" applyNumberFormat="1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wrapText="1"/>
    </xf>
    <xf numFmtId="4" fontId="7" fillId="8" borderId="14" xfId="0" applyNumberFormat="1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wrapText="1"/>
    </xf>
    <xf numFmtId="0" fontId="7" fillId="0" borderId="49" xfId="0" applyFont="1" applyBorder="1" applyAlignment="1" applyProtection="1">
      <alignment wrapText="1"/>
    </xf>
    <xf numFmtId="167" fontId="7" fillId="0" borderId="42" xfId="0" applyNumberFormat="1" applyFont="1" applyBorder="1" applyAlignment="1" applyProtection="1">
      <alignment horizontal="center" vertical="center"/>
    </xf>
    <xf numFmtId="167" fontId="7" fillId="0" borderId="50" xfId="0" applyNumberFormat="1" applyFont="1" applyBorder="1" applyAlignment="1" applyProtection="1">
      <alignment horizontal="center" vertical="center"/>
    </xf>
    <xf numFmtId="0" fontId="6" fillId="8" borderId="3" xfId="0" applyFont="1" applyFill="1" applyBorder="1" applyAlignment="1" applyProtection="1">
      <alignment wrapText="1"/>
    </xf>
    <xf numFmtId="0" fontId="6" fillId="8" borderId="3" xfId="0" applyFont="1" applyFill="1" applyBorder="1" applyProtection="1"/>
    <xf numFmtId="0" fontId="6" fillId="8" borderId="14" xfId="0" applyFont="1" applyFill="1" applyBorder="1" applyProtection="1"/>
    <xf numFmtId="4" fontId="4" fillId="6" borderId="12" xfId="0" applyNumberFormat="1" applyFont="1" applyFill="1" applyBorder="1" applyAlignment="1" applyProtection="1">
      <alignment horizontal="center" vertical="center"/>
    </xf>
    <xf numFmtId="1" fontId="3" fillId="0" borderId="35" xfId="0" applyNumberFormat="1" applyFont="1" applyFill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5" borderId="36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4" fontId="3" fillId="5" borderId="23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1" fontId="3" fillId="0" borderId="25" xfId="0" applyNumberFormat="1" applyFont="1" applyBorder="1" applyAlignment="1">
      <alignment horizontal="right" vertical="center"/>
    </xf>
    <xf numFmtId="4" fontId="3" fillId="0" borderId="25" xfId="0" applyNumberFormat="1" applyFont="1" applyBorder="1" applyAlignment="1">
      <alignment horizontal="right" vertical="center"/>
    </xf>
    <xf numFmtId="4" fontId="3" fillId="5" borderId="26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right" vertical="center"/>
    </xf>
    <xf numFmtId="49" fontId="3" fillId="0" borderId="20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1" fontId="3" fillId="0" borderId="5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7" fillId="0" borderId="2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37" xfId="0" applyFont="1" applyBorder="1" applyAlignment="1" applyProtection="1">
      <alignment horizontal="center" wrapText="1"/>
    </xf>
    <xf numFmtId="0" fontId="7" fillId="0" borderId="32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 wrapText="1"/>
    </xf>
    <xf numFmtId="0" fontId="7" fillId="0" borderId="33" xfId="0" applyFont="1" applyBorder="1" applyAlignment="1" applyProtection="1">
      <alignment horizontal="center" wrapText="1"/>
    </xf>
    <xf numFmtId="0" fontId="7" fillId="0" borderId="27" xfId="0" applyFont="1" applyBorder="1" applyAlignment="1" applyProtection="1">
      <alignment horizontal="center" wrapText="1"/>
    </xf>
    <xf numFmtId="0" fontId="7" fillId="0" borderId="28" xfId="0" applyFont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0" fillId="9" borderId="42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4" fillId="0" borderId="46" xfId="0" applyFont="1" applyBorder="1" applyAlignment="1">
      <alignment horizontal="center"/>
    </xf>
    <xf numFmtId="0" fontId="4" fillId="10" borderId="1" xfId="0" applyFont="1" applyFill="1" applyBorder="1" applyAlignment="1">
      <alignment horizontal="right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43" fontId="8" fillId="0" borderId="1" xfId="8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protection locked="0"/>
    </xf>
    <xf numFmtId="0" fontId="9" fillId="0" borderId="42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3" xfId="4"/>
    <cellStyle name="Обычный 4" xfId="6"/>
    <cellStyle name="Обычный 5" xfId="7"/>
    <cellStyle name="Обычный 6" xfId="5"/>
    <cellStyle name="Финансовый" xfId="8" builtinId="3"/>
    <cellStyle name="Финансовый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P47"/>
  <sheetViews>
    <sheetView tabSelected="1" topLeftCell="A34" workbookViewId="0">
      <selection activeCell="F45" sqref="F45"/>
    </sheetView>
  </sheetViews>
  <sheetFormatPr defaultRowHeight="18.75" outlineLevelRow="1" x14ac:dyDescent="0.3"/>
  <cols>
    <col min="1" max="3" width="9.140625" style="75"/>
    <col min="4" max="4" width="35.140625" style="89" customWidth="1"/>
    <col min="5" max="5" width="11.5703125" style="89" customWidth="1"/>
    <col min="6" max="6" width="12.85546875" style="75" customWidth="1"/>
    <col min="7" max="7" width="13.28515625" style="75" customWidth="1"/>
    <col min="8" max="8" width="12.85546875" style="75" customWidth="1"/>
    <col min="9" max="9" width="13" style="75" customWidth="1"/>
    <col min="10" max="10" width="13" style="75" bestFit="1" customWidth="1"/>
    <col min="11" max="11" width="9.140625" style="75"/>
    <col min="12" max="12" width="19.7109375" style="75" customWidth="1"/>
    <col min="13" max="14" width="9.85546875" style="75" bestFit="1" customWidth="1"/>
    <col min="15" max="15" width="10.5703125" style="75" bestFit="1" customWidth="1"/>
    <col min="16" max="16384" width="9.140625" style="75"/>
  </cols>
  <sheetData>
    <row r="1" spans="2:16" x14ac:dyDescent="0.3">
      <c r="D1" s="76"/>
      <c r="E1" s="76"/>
      <c r="F1" s="77"/>
      <c r="G1" s="77"/>
      <c r="H1" s="77"/>
      <c r="I1" s="77"/>
    </row>
    <row r="2" spans="2:16" x14ac:dyDescent="0.3">
      <c r="B2" s="78"/>
      <c r="C2" s="79"/>
      <c r="D2" s="80" t="s">
        <v>96</v>
      </c>
      <c r="E2" s="81" t="s">
        <v>184</v>
      </c>
      <c r="F2" s="77"/>
      <c r="G2" s="77"/>
      <c r="H2" s="77"/>
      <c r="I2" s="77"/>
      <c r="L2" s="226" t="s">
        <v>228</v>
      </c>
      <c r="M2" s="226"/>
      <c r="N2" s="226"/>
      <c r="O2" s="226"/>
      <c r="P2" s="225"/>
    </row>
    <row r="3" spans="2:16" x14ac:dyDescent="0.3">
      <c r="D3" s="80" t="s">
        <v>68</v>
      </c>
      <c r="E3" s="90">
        <v>60</v>
      </c>
      <c r="F3" s="220" t="s">
        <v>217</v>
      </c>
      <c r="G3" s="77"/>
      <c r="H3" s="77"/>
      <c r="I3" s="77"/>
      <c r="L3" s="80"/>
      <c r="M3" s="227" t="s">
        <v>104</v>
      </c>
      <c r="N3" s="228" t="s">
        <v>105</v>
      </c>
      <c r="O3" s="228" t="s">
        <v>215</v>
      </c>
    </row>
    <row r="4" spans="2:16" ht="25.5" x14ac:dyDescent="0.3">
      <c r="D4" s="80" t="s">
        <v>67</v>
      </c>
      <c r="E4" s="81" t="s">
        <v>69</v>
      </c>
      <c r="F4" s="221" t="s">
        <v>214</v>
      </c>
      <c r="G4" s="77"/>
      <c r="H4" s="77"/>
      <c r="I4" s="77"/>
      <c r="L4" s="83" t="s">
        <v>229</v>
      </c>
      <c r="M4" s="223">
        <f>F38</f>
        <v>812005.74</v>
      </c>
      <c r="N4" s="223">
        <f>G38</f>
        <v>680323.89</v>
      </c>
      <c r="O4" s="223">
        <f>H38</f>
        <v>643705.24</v>
      </c>
    </row>
    <row r="5" spans="2:16" ht="25.5" x14ac:dyDescent="0.3">
      <c r="D5" s="80" t="s">
        <v>144</v>
      </c>
      <c r="E5" s="80">
        <v>1</v>
      </c>
      <c r="F5" s="220" t="s">
        <v>216</v>
      </c>
      <c r="G5" s="77"/>
      <c r="H5" s="77"/>
      <c r="I5" s="77"/>
      <c r="L5" s="83" t="s">
        <v>231</v>
      </c>
      <c r="M5" s="83">
        <v>350000</v>
      </c>
      <c r="N5" s="83">
        <v>350000</v>
      </c>
      <c r="O5" s="83">
        <v>350000</v>
      </c>
    </row>
    <row r="6" spans="2:16" ht="25.5" x14ac:dyDescent="0.3">
      <c r="D6" s="83" t="s">
        <v>73</v>
      </c>
      <c r="E6" s="90">
        <v>50</v>
      </c>
      <c r="F6" s="220" t="s">
        <v>218</v>
      </c>
      <c r="G6" s="77"/>
      <c r="H6" s="77"/>
      <c r="I6" s="77"/>
      <c r="L6" s="83" t="s">
        <v>232</v>
      </c>
      <c r="M6" s="83">
        <v>180000</v>
      </c>
      <c r="N6" s="83">
        <v>180000</v>
      </c>
      <c r="O6" s="83">
        <v>180000</v>
      </c>
    </row>
    <row r="7" spans="2:16" outlineLevel="1" x14ac:dyDescent="0.3">
      <c r="D7" s="84" t="s">
        <v>72</v>
      </c>
      <c r="E7" s="85"/>
      <c r="F7" s="221" t="s">
        <v>214</v>
      </c>
      <c r="G7" s="77"/>
      <c r="H7" s="77"/>
      <c r="I7" s="77"/>
      <c r="L7" s="83" t="s">
        <v>233</v>
      </c>
      <c r="M7" s="83">
        <f>M5-M6</f>
        <v>170000</v>
      </c>
      <c r="N7" s="83">
        <f>N5-N6</f>
        <v>170000</v>
      </c>
      <c r="O7" s="83">
        <f>O5-O6</f>
        <v>170000</v>
      </c>
    </row>
    <row r="8" spans="2:16" outlineLevel="1" x14ac:dyDescent="0.3">
      <c r="D8" s="84" t="s">
        <v>108</v>
      </c>
      <c r="E8" s="85"/>
      <c r="F8" s="221" t="s">
        <v>214</v>
      </c>
      <c r="G8" s="77"/>
      <c r="H8" s="77"/>
      <c r="I8" s="77"/>
      <c r="L8" s="83" t="s">
        <v>234</v>
      </c>
      <c r="M8" s="83">
        <v>2.7</v>
      </c>
      <c r="N8" s="83">
        <v>2.7</v>
      </c>
      <c r="O8" s="83">
        <v>2.7</v>
      </c>
    </row>
    <row r="9" spans="2:16" ht="27" customHeight="1" x14ac:dyDescent="0.3">
      <c r="D9" s="80" t="s">
        <v>74</v>
      </c>
      <c r="E9" s="80">
        <v>40</v>
      </c>
      <c r="F9" s="220" t="s">
        <v>219</v>
      </c>
      <c r="G9" s="77"/>
      <c r="H9" s="77"/>
      <c r="I9" s="77"/>
      <c r="L9" s="80" t="s">
        <v>235</v>
      </c>
      <c r="M9" s="224">
        <f>M4/(M7*M8)</f>
        <v>1.77</v>
      </c>
      <c r="N9" s="224">
        <f>N4/(N7*N8)</f>
        <v>1.48</v>
      </c>
      <c r="O9" s="224">
        <f>O4/(O7*O8)</f>
        <v>1.4</v>
      </c>
    </row>
    <row r="10" spans="2:16" ht="21.75" customHeight="1" x14ac:dyDescent="0.3">
      <c r="D10" s="83" t="s">
        <v>137</v>
      </c>
      <c r="E10" s="90">
        <v>9</v>
      </c>
      <c r="F10" s="220" t="s">
        <v>220</v>
      </c>
      <c r="G10" s="77"/>
      <c r="H10" s="77"/>
      <c r="I10" s="77"/>
    </row>
    <row r="11" spans="2:16" outlineLevel="1" x14ac:dyDescent="0.3">
      <c r="D11" s="84" t="s">
        <v>69</v>
      </c>
      <c r="E11" s="85"/>
      <c r="F11" s="221" t="s">
        <v>214</v>
      </c>
      <c r="G11" s="77"/>
      <c r="H11" s="77"/>
      <c r="I11" s="77"/>
    </row>
    <row r="12" spans="2:16" outlineLevel="1" x14ac:dyDescent="0.3">
      <c r="D12" s="84" t="s">
        <v>109</v>
      </c>
      <c r="E12" s="85">
        <v>0</v>
      </c>
      <c r="F12" s="221" t="s">
        <v>214</v>
      </c>
      <c r="G12" s="77"/>
      <c r="H12" s="77"/>
      <c r="I12" s="77"/>
    </row>
    <row r="13" spans="2:16" ht="25.5" x14ac:dyDescent="0.3">
      <c r="D13" s="80" t="s">
        <v>75</v>
      </c>
      <c r="E13" s="80">
        <v>25</v>
      </c>
      <c r="F13" s="220" t="s">
        <v>219</v>
      </c>
      <c r="G13" s="77"/>
      <c r="H13" s="77"/>
      <c r="I13" s="77"/>
    </row>
    <row r="14" spans="2:16" ht="26.25" customHeight="1" x14ac:dyDescent="0.3">
      <c r="D14" s="82" t="s">
        <v>223</v>
      </c>
      <c r="E14" s="90" t="s">
        <v>187</v>
      </c>
      <c r="F14" s="149">
        <v>6344</v>
      </c>
      <c r="G14" s="220"/>
      <c r="H14" s="77"/>
      <c r="I14" s="77"/>
    </row>
    <row r="15" spans="2:16" ht="25.5" x14ac:dyDescent="0.3">
      <c r="D15" s="82" t="s">
        <v>224</v>
      </c>
      <c r="E15" s="90" t="s">
        <v>188</v>
      </c>
      <c r="F15" s="149">
        <v>13176</v>
      </c>
      <c r="G15" s="220"/>
      <c r="H15" s="77"/>
      <c r="I15" s="77"/>
    </row>
    <row r="16" spans="2:16" ht="24.75" customHeight="1" x14ac:dyDescent="0.3">
      <c r="D16" s="82" t="s">
        <v>225</v>
      </c>
      <c r="E16" s="90" t="s">
        <v>189</v>
      </c>
      <c r="F16" s="149">
        <v>9028</v>
      </c>
      <c r="G16" s="220"/>
      <c r="H16" s="77"/>
      <c r="I16" s="77"/>
    </row>
    <row r="17" spans="4:9" ht="24.75" customHeight="1" x14ac:dyDescent="0.3">
      <c r="D17" s="82" t="s">
        <v>226</v>
      </c>
      <c r="E17" s="90"/>
      <c r="F17" s="149">
        <v>9822</v>
      </c>
      <c r="G17" s="220"/>
      <c r="H17" s="77"/>
      <c r="I17" s="77"/>
    </row>
    <row r="18" spans="4:9" ht="24.75" customHeight="1" x14ac:dyDescent="0.3">
      <c r="D18" s="82" t="s">
        <v>227</v>
      </c>
      <c r="E18" s="90"/>
      <c r="F18" s="149">
        <v>39650</v>
      </c>
      <c r="G18" s="220"/>
      <c r="H18" s="77"/>
      <c r="I18" s="77"/>
    </row>
    <row r="19" spans="4:9" x14ac:dyDescent="0.3">
      <c r="D19" s="80" t="s">
        <v>70</v>
      </c>
      <c r="E19" s="80" t="s">
        <v>71</v>
      </c>
      <c r="F19" s="222" t="s">
        <v>230</v>
      </c>
      <c r="G19" s="77"/>
      <c r="H19" s="77"/>
      <c r="I19" s="77"/>
    </row>
    <row r="20" spans="4:9" x14ac:dyDescent="0.3">
      <c r="D20" s="80" t="s">
        <v>131</v>
      </c>
      <c r="E20" s="80">
        <v>3</v>
      </c>
      <c r="F20" s="221" t="s">
        <v>214</v>
      </c>
      <c r="G20" s="77"/>
      <c r="H20" s="77"/>
      <c r="I20" s="77"/>
    </row>
    <row r="21" spans="4:9" ht="27" x14ac:dyDescent="0.3">
      <c r="D21" s="86" t="s">
        <v>114</v>
      </c>
      <c r="E21" s="90">
        <f>E22+E23</f>
        <v>0</v>
      </c>
      <c r="F21" s="221" t="s">
        <v>221</v>
      </c>
      <c r="G21" s="77"/>
      <c r="H21" s="77"/>
      <c r="I21" s="77"/>
    </row>
    <row r="22" spans="4:9" outlineLevel="1" x14ac:dyDescent="0.3">
      <c r="D22" s="87" t="s">
        <v>62</v>
      </c>
      <c r="E22" s="80">
        <v>0</v>
      </c>
      <c r="F22" s="221" t="s">
        <v>214</v>
      </c>
      <c r="G22" s="77"/>
      <c r="H22" s="77"/>
      <c r="I22" s="77"/>
    </row>
    <row r="23" spans="4:9" outlineLevel="1" x14ac:dyDescent="0.3">
      <c r="D23" s="84" t="s">
        <v>61</v>
      </c>
      <c r="E23" s="80">
        <v>0</v>
      </c>
      <c r="F23" s="221" t="s">
        <v>214</v>
      </c>
      <c r="G23" s="77"/>
      <c r="H23" s="77"/>
      <c r="I23" s="77"/>
    </row>
    <row r="24" spans="4:9" x14ac:dyDescent="0.3">
      <c r="D24" s="84" t="s">
        <v>148</v>
      </c>
      <c r="E24" s="80">
        <v>1</v>
      </c>
      <c r="F24" s="88">
        <v>0</v>
      </c>
      <c r="G24" s="221" t="s">
        <v>222</v>
      </c>
      <c r="H24" s="77"/>
      <c r="I24" s="77"/>
    </row>
    <row r="25" spans="4:9" ht="38.25" x14ac:dyDescent="0.3">
      <c r="D25" s="84" t="s">
        <v>130</v>
      </c>
      <c r="E25" s="80" t="s">
        <v>129</v>
      </c>
      <c r="F25" s="221" t="s">
        <v>214</v>
      </c>
      <c r="G25" s="77"/>
      <c r="H25" s="77"/>
      <c r="I25" s="77"/>
    </row>
    <row r="26" spans="4:9" ht="19.5" thickBot="1" x14ac:dyDescent="0.35">
      <c r="D26" s="76"/>
      <c r="E26" s="76"/>
      <c r="F26" s="77"/>
      <c r="G26" s="77"/>
      <c r="H26" s="77"/>
      <c r="I26" s="77"/>
    </row>
    <row r="27" spans="4:9" x14ac:dyDescent="0.3">
      <c r="D27" s="91"/>
      <c r="E27" s="92"/>
      <c r="F27" s="190" t="s">
        <v>121</v>
      </c>
      <c r="G27" s="190"/>
      <c r="H27" s="190"/>
      <c r="I27" s="191"/>
    </row>
    <row r="28" spans="4:9" ht="19.5" thickBot="1" x14ac:dyDescent="0.35">
      <c r="D28" s="93"/>
      <c r="E28" s="94"/>
      <c r="F28" s="95" t="s">
        <v>104</v>
      </c>
      <c r="G28" s="96" t="s">
        <v>105</v>
      </c>
      <c r="H28" s="151" t="s">
        <v>215</v>
      </c>
      <c r="I28" s="97"/>
    </row>
    <row r="29" spans="4:9" ht="19.5" thickBot="1" x14ac:dyDescent="0.35">
      <c r="D29" s="98" t="s">
        <v>152</v>
      </c>
      <c r="E29" s="99"/>
      <c r="F29" s="100"/>
      <c r="G29" s="100"/>
      <c r="H29" s="100"/>
      <c r="I29" s="101"/>
    </row>
    <row r="30" spans="4:9" ht="19.5" thickBot="1" x14ac:dyDescent="0.35">
      <c r="D30" s="186" t="s">
        <v>127</v>
      </c>
      <c r="E30" s="187"/>
      <c r="F30" s="187"/>
      <c r="G30" s="187"/>
      <c r="H30" s="188"/>
      <c r="I30" s="189"/>
    </row>
    <row r="31" spans="4:9" ht="27" x14ac:dyDescent="0.3">
      <c r="D31" s="102" t="s">
        <v>126</v>
      </c>
      <c r="E31" s="103"/>
      <c r="F31" s="104">
        <f>'Монтаж на опоре'!F34</f>
        <v>593826.07999999996</v>
      </c>
      <c r="G31" s="104">
        <f>'Монтаж на фасаде'!E29</f>
        <v>514967.72</v>
      </c>
      <c r="H31" s="152">
        <f>'Монтаж на сущ. место'!E12</f>
        <v>519996.08</v>
      </c>
      <c r="I31" s="105"/>
    </row>
    <row r="32" spans="4:9" ht="24" customHeight="1" x14ac:dyDescent="0.3">
      <c r="D32" s="106" t="s">
        <v>99</v>
      </c>
      <c r="E32" s="107"/>
      <c r="F32" s="108">
        <f>'ПУ в ТП'!E12</f>
        <v>15263.28</v>
      </c>
      <c r="G32" s="108">
        <f>'ПУ в ТП'!E12</f>
        <v>15263.28</v>
      </c>
      <c r="H32" s="153">
        <f>'ПУ в ТП'!E12</f>
        <v>15263.28</v>
      </c>
      <c r="I32" s="109"/>
    </row>
    <row r="33" spans="4:12" ht="27.75" thickBot="1" x14ac:dyDescent="0.35">
      <c r="D33" s="106" t="s">
        <v>107</v>
      </c>
      <c r="E33" s="107"/>
      <c r="F33" s="108">
        <f>'Оборудование связи ПНР ПИР'!E17</f>
        <v>41322.35</v>
      </c>
      <c r="G33" s="108">
        <f>'Оборудование связи ПНР ПИР'!E17</f>
        <v>41322.35</v>
      </c>
      <c r="H33" s="153">
        <f>'Оборудование связи ПНР ПИР'!E17</f>
        <v>41322.35</v>
      </c>
      <c r="I33" s="109"/>
    </row>
    <row r="34" spans="4:12" ht="19.5" thickBot="1" x14ac:dyDescent="0.35">
      <c r="D34" s="183" t="s">
        <v>106</v>
      </c>
      <c r="E34" s="184"/>
      <c r="F34" s="184"/>
      <c r="G34" s="184"/>
      <c r="H34" s="184"/>
      <c r="I34" s="185"/>
    </row>
    <row r="35" spans="4:12" x14ac:dyDescent="0.3">
      <c r="D35" s="102" t="s">
        <v>100</v>
      </c>
      <c r="E35" s="103"/>
      <c r="F35" s="110">
        <f>'Монтаж на опоре'!F39</f>
        <v>145176.38</v>
      </c>
      <c r="G35" s="110">
        <f>'Монтаж на фасаде'!E34</f>
        <v>92352.89</v>
      </c>
      <c r="H35" s="154">
        <f>'Монтаж на сущ. место'!E19</f>
        <v>50705.88</v>
      </c>
      <c r="I35" s="111"/>
    </row>
    <row r="36" spans="4:12" x14ac:dyDescent="0.3">
      <c r="D36" s="106" t="s">
        <v>101</v>
      </c>
      <c r="E36" s="107"/>
      <c r="F36" s="112">
        <f>'ПУ в ТП'!E19</f>
        <v>12300</v>
      </c>
      <c r="G36" s="112">
        <f>'ПУ в ТП'!E19</f>
        <v>12300</v>
      </c>
      <c r="H36" s="155">
        <f>'ПУ в ТП'!E19</f>
        <v>12300</v>
      </c>
      <c r="I36" s="113"/>
    </row>
    <row r="37" spans="4:12" x14ac:dyDescent="0.3">
      <c r="D37" s="106" t="s">
        <v>102</v>
      </c>
      <c r="E37" s="107"/>
      <c r="F37" s="112">
        <f>'Оборудование связи ПНР ПИР'!E22</f>
        <v>4117.6499999999996</v>
      </c>
      <c r="G37" s="112">
        <f>'Оборудование связи ПНР ПИР'!E22</f>
        <v>4117.6499999999996</v>
      </c>
      <c r="H37" s="155">
        <f>'Оборудование связи ПНР ПИР'!E22</f>
        <v>4117.6499999999996</v>
      </c>
      <c r="I37" s="113"/>
    </row>
    <row r="38" spans="4:12" s="140" customFormat="1" ht="24" customHeight="1" thickBot="1" x14ac:dyDescent="0.35">
      <c r="D38" s="141" t="s">
        <v>103</v>
      </c>
      <c r="E38" s="142"/>
      <c r="F38" s="167">
        <f>F31+F32+F33+F35+F36+F37</f>
        <v>812005.74</v>
      </c>
      <c r="G38" s="167">
        <f>G31+G32+G33+G35+G36+G37</f>
        <v>680323.89</v>
      </c>
      <c r="H38" s="167">
        <f>H31+H32+H33+H35+H36+H37</f>
        <v>643705.24</v>
      </c>
      <c r="I38" s="143"/>
      <c r="J38" s="139"/>
    </row>
    <row r="39" spans="4:12" ht="19.5" thickBot="1" x14ac:dyDescent="0.35">
      <c r="D39" s="132" t="s">
        <v>136</v>
      </c>
      <c r="E39" s="133"/>
      <c r="F39" s="134">
        <f>IF(E3=0,0,F38/$E$3)</f>
        <v>13533.43</v>
      </c>
      <c r="G39" s="134">
        <f>IF(E3=0,0,G38/$E$3)</f>
        <v>11338.73</v>
      </c>
      <c r="H39" s="134">
        <f>IF(F3=0,0,H38/$E$3)</f>
        <v>10728.42</v>
      </c>
      <c r="I39" s="135"/>
    </row>
    <row r="40" spans="4:12" ht="19.5" thickBot="1" x14ac:dyDescent="0.35">
      <c r="D40" s="98" t="s">
        <v>153</v>
      </c>
      <c r="E40" s="164"/>
      <c r="F40" s="165"/>
      <c r="G40" s="165"/>
      <c r="H40" s="165"/>
      <c r="I40" s="166"/>
    </row>
    <row r="41" spans="4:12" ht="36" customHeight="1" x14ac:dyDescent="0.3">
      <c r="D41" s="93" t="s">
        <v>111</v>
      </c>
      <c r="E41" s="161"/>
      <c r="F41" s="162"/>
      <c r="G41" s="163"/>
      <c r="H41" s="116"/>
      <c r="I41" s="116">
        <f>'Замена отходящей линии'!E21</f>
        <v>0</v>
      </c>
    </row>
    <row r="42" spans="4:12" ht="19.5" thickBot="1" x14ac:dyDescent="0.35">
      <c r="D42" s="117" t="s">
        <v>110</v>
      </c>
      <c r="E42" s="93"/>
      <c r="F42" s="118"/>
      <c r="G42" s="119"/>
      <c r="H42" s="119"/>
      <c r="I42" s="120">
        <f>'Замена отходящей линии'!E26</f>
        <v>0</v>
      </c>
      <c r="L42" s="77"/>
    </row>
    <row r="43" spans="4:12" ht="27" customHeight="1" thickBot="1" x14ac:dyDescent="0.35">
      <c r="D43" s="144" t="s">
        <v>103</v>
      </c>
      <c r="E43" s="145"/>
      <c r="F43" s="146"/>
      <c r="G43" s="147"/>
      <c r="H43" s="148"/>
      <c r="I43" s="148">
        <f>I42+I41</f>
        <v>0</v>
      </c>
    </row>
    <row r="44" spans="4:12" ht="19.5" thickBot="1" x14ac:dyDescent="0.35">
      <c r="D44" s="192"/>
      <c r="E44" s="193"/>
      <c r="F44" s="193"/>
      <c r="G44" s="193"/>
      <c r="H44" s="193"/>
      <c r="I44" s="194"/>
    </row>
    <row r="45" spans="4:12" ht="31.5" customHeight="1" thickBot="1" x14ac:dyDescent="0.35">
      <c r="D45" s="160" t="s">
        <v>163</v>
      </c>
      <c r="E45" s="158"/>
      <c r="F45" s="159">
        <f>F38+I43</f>
        <v>812005.74</v>
      </c>
      <c r="G45" s="157">
        <f>G38+I43</f>
        <v>680323.89</v>
      </c>
      <c r="H45" s="157">
        <f>H38+I43</f>
        <v>643705.24</v>
      </c>
      <c r="I45" s="121"/>
    </row>
    <row r="46" spans="4:12" ht="36" hidden="1" customHeight="1" x14ac:dyDescent="0.3">
      <c r="D46" s="132" t="s">
        <v>155</v>
      </c>
      <c r="E46" s="133"/>
      <c r="F46" s="134" t="e">
        <f>IF($E$10=0,0,#REF!+#REF!)</f>
        <v>#REF!</v>
      </c>
      <c r="G46" s="137" t="e">
        <f>#REF!+#REF!</f>
        <v>#REF!</v>
      </c>
      <c r="H46" s="156"/>
      <c r="I46" s="122"/>
    </row>
    <row r="47" spans="4:12" ht="31.5" hidden="1" customHeight="1" thickBot="1" x14ac:dyDescent="0.35">
      <c r="D47" s="114" t="s">
        <v>154</v>
      </c>
      <c r="E47" s="115"/>
      <c r="F47" s="136" t="e">
        <f>#REF!+#REF!</f>
        <v>#REF!</v>
      </c>
      <c r="G47" s="138" t="e">
        <f>#REF!+#REF!</f>
        <v>#REF!</v>
      </c>
      <c r="H47" s="156"/>
      <c r="I47" s="122"/>
    </row>
  </sheetData>
  <sheetProtection formatCells="0" formatColumns="0" formatRows="0" insertColumns="0" insertRows="0" insertHyperlinks="0" deleteColumns="0" deleteRows="0" sort="0" autoFilter="0" pivotTables="0"/>
  <mergeCells count="5">
    <mergeCell ref="D34:I34"/>
    <mergeCell ref="D30:I30"/>
    <mergeCell ref="F27:I27"/>
    <mergeCell ref="D44:I44"/>
    <mergeCell ref="L2:O2"/>
  </mergeCells>
  <dataValidations count="4">
    <dataValidation type="list" allowBlank="1" showInputMessage="1" showErrorMessage="1" sqref="E19">
      <formula1>"фасад,опора,дом"</formula1>
    </dataValidation>
    <dataValidation type="list" allowBlank="1" showInputMessage="1" showErrorMessage="1" sqref="E25">
      <formula1>"да, нет"</formula1>
    </dataValidation>
    <dataValidation type="list" allowBlank="1" showInputMessage="1" showErrorMessage="1" sqref="E9 E13">
      <formula1>"16,20,25,32,40,50,63"</formula1>
    </dataValidation>
    <dataValidation type="list" allowBlank="1" showInputMessage="1" showErrorMessage="1" sqref="E4">
      <formula1>"СИП, Неизол"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E20</xm:sqref>
        </x14:dataValidation>
        <x14:dataValidation type="list" allowBlank="1" showInputMessage="1" showErrorMessage="1">
          <x14:formula1>
            <xm:f>#REF!</xm:f>
          </x14:formula1>
          <xm:sqref>E14</xm:sqref>
        </x14:dataValidation>
        <x14:dataValidation type="list" allowBlank="1" showInputMessage="1" showErrorMessage="1">
          <x14:formula1>
            <xm:f>#REF!</xm:f>
          </x14:formula1>
          <xm:sqref>E15</xm:sqref>
        </x14:dataValidation>
        <x14:dataValidation type="list" allowBlank="1" showInputMessage="1" showErrorMessage="1">
          <x14:formula1>
            <xm:f>#REF!</xm:f>
          </x14:formula1>
          <xm:sqref>E16:E18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A14" sqref="A14:E14"/>
    </sheetView>
  </sheetViews>
  <sheetFormatPr defaultRowHeight="15" x14ac:dyDescent="0.25"/>
  <cols>
    <col min="1" max="1" width="6.28515625" customWidth="1"/>
    <col min="2" max="2" width="74.42578125" customWidth="1"/>
    <col min="3" max="3" width="13.140625" customWidth="1"/>
    <col min="4" max="4" width="12.85546875" customWidth="1"/>
    <col min="5" max="5" width="16.85546875" customWidth="1"/>
    <col min="11" max="11" width="65.7109375" customWidth="1"/>
    <col min="14" max="14" width="14.140625" customWidth="1"/>
    <col min="15" max="15" width="14.85546875" customWidth="1"/>
  </cols>
  <sheetData>
    <row r="1" spans="1:5" ht="15.75" x14ac:dyDescent="0.25">
      <c r="B1" s="199" t="s">
        <v>25</v>
      </c>
      <c r="C1" s="199"/>
      <c r="D1" s="199"/>
      <c r="E1" s="199"/>
    </row>
    <row r="2" spans="1:5" ht="15.75" x14ac:dyDescent="0.25">
      <c r="B2" s="200" t="s">
        <v>26</v>
      </c>
      <c r="C2" s="200"/>
      <c r="D2" s="200"/>
      <c r="E2" s="200"/>
    </row>
    <row r="3" spans="1:5" ht="41.25" customHeight="1" x14ac:dyDescent="0.25">
      <c r="A3" s="201" t="str">
        <f>"Садоводческое некоммерческое товарищество «" &amp;'Общий лист'!E2&amp;"»"</f>
        <v>Садоводческое некоммерческое товарищество «Южное»</v>
      </c>
      <c r="B3" s="201"/>
      <c r="C3" s="201"/>
      <c r="D3" s="201"/>
      <c r="E3" s="201"/>
    </row>
    <row r="4" spans="1:5" ht="47.25" x14ac:dyDescent="0.25">
      <c r="A4" s="10" t="s">
        <v>0</v>
      </c>
      <c r="B4" s="10" t="s">
        <v>1</v>
      </c>
      <c r="C4" s="9" t="s">
        <v>2</v>
      </c>
      <c r="D4" s="54" t="s">
        <v>185</v>
      </c>
      <c r="E4" s="54" t="s">
        <v>186</v>
      </c>
    </row>
    <row r="5" spans="1:5" ht="16.5" thickBot="1" x14ac:dyDescent="0.3">
      <c r="A5" s="19"/>
      <c r="B5" s="20"/>
      <c r="C5" s="19"/>
      <c r="D5" s="19"/>
      <c r="E5" s="19"/>
    </row>
    <row r="6" spans="1:5" ht="20.100000000000001" customHeight="1" thickBot="1" x14ac:dyDescent="0.3">
      <c r="A6" s="39">
        <v>1</v>
      </c>
      <c r="B6" s="195" t="s">
        <v>52</v>
      </c>
      <c r="C6" s="195"/>
      <c r="D6" s="195"/>
      <c r="E6" s="195"/>
    </row>
    <row r="7" spans="1:5" ht="15.95" customHeight="1" thickBot="1" x14ac:dyDescent="0.3">
      <c r="A7" s="37" t="s">
        <v>6</v>
      </c>
      <c r="B7" s="125" t="str">
        <f>"Однофазный счётчик "&amp;'Общий лист'!E14&amp;", шт."</f>
        <v>Однофазный счётчик Энергомера 1ф, шт.</v>
      </c>
      <c r="C7" s="55">
        <f>'Общий лист'!E6</f>
        <v>50</v>
      </c>
      <c r="D7" s="127">
        <f>'Общий лист'!F14</f>
        <v>6344</v>
      </c>
      <c r="E7" s="128">
        <f>C7*D7</f>
        <v>317200</v>
      </c>
    </row>
    <row r="8" spans="1:5" ht="15.95" customHeight="1" x14ac:dyDescent="0.25">
      <c r="A8" s="4" t="s">
        <v>7</v>
      </c>
      <c r="B8" s="38" t="str">
        <f>"Трехфазный счётчик "&amp;'Общий лист'!E16&amp;", шт."</f>
        <v>Трехфазный счётчик Энергомера 3фТ, шт.</v>
      </c>
      <c r="C8" s="22">
        <f>'Общий лист'!E10</f>
        <v>9</v>
      </c>
      <c r="D8" s="127">
        <f>'Общий лист'!F15</f>
        <v>13176</v>
      </c>
      <c r="E8" s="130">
        <f>C8*D8</f>
        <v>118584</v>
      </c>
    </row>
    <row r="9" spans="1:5" ht="15.95" customHeight="1" x14ac:dyDescent="0.25">
      <c r="A9" s="4" t="s">
        <v>7</v>
      </c>
      <c r="B9" s="3" t="str">
        <f>"Автоматический выключатель ВА47-29 " &amp;'Общий лист'!E9&amp;"А, 1р"</f>
        <v>Автоматический выключатель ВА47-29 40А, 1р</v>
      </c>
      <c r="C9" s="21">
        <f>C7</f>
        <v>50</v>
      </c>
      <c r="D9" s="11">
        <v>117.65</v>
      </c>
      <c r="E9" s="13">
        <f>C9*D9</f>
        <v>5882.5</v>
      </c>
    </row>
    <row r="10" spans="1:5" ht="15.95" customHeight="1" x14ac:dyDescent="0.25">
      <c r="A10" s="4" t="s">
        <v>8</v>
      </c>
      <c r="B10" s="3" t="str">
        <f>"Автоматический выключатель ВА47-29 " &amp;'Общий лист'!E13&amp;"А, 3р"</f>
        <v>Автоматический выключатель ВА47-29 25А, 3р</v>
      </c>
      <c r="C10" s="21">
        <f>C8</f>
        <v>9</v>
      </c>
      <c r="D10" s="11">
        <v>258.82</v>
      </c>
      <c r="E10" s="13">
        <f>C10*D10</f>
        <v>2329.38</v>
      </c>
    </row>
    <row r="11" spans="1:5" ht="15.95" customHeight="1" x14ac:dyDescent="0.25">
      <c r="A11" s="4" t="s">
        <v>7</v>
      </c>
      <c r="B11" s="3" t="s">
        <v>181</v>
      </c>
      <c r="C11" s="22">
        <f>C7+C8*2</f>
        <v>68</v>
      </c>
      <c r="D11" s="11">
        <v>1117.6500000000001</v>
      </c>
      <c r="E11" s="13">
        <f>C11*D11</f>
        <v>76000.2</v>
      </c>
    </row>
    <row r="12" spans="1:5" ht="15.95" customHeight="1" x14ac:dyDescent="0.25">
      <c r="A12" s="211" t="s">
        <v>3</v>
      </c>
      <c r="B12" s="211"/>
      <c r="C12" s="211"/>
      <c r="D12" s="24"/>
      <c r="E12" s="17">
        <f>SUM(E7:E11)</f>
        <v>519996.08</v>
      </c>
    </row>
    <row r="13" spans="1:5" ht="15.95" customHeight="1" thickBot="1" x14ac:dyDescent="0.3">
      <c r="A13" s="19"/>
      <c r="B13" s="20"/>
      <c r="C13" s="19"/>
      <c r="D13" s="19"/>
      <c r="E13" s="19"/>
    </row>
    <row r="14" spans="1:5" ht="20.100000000000001" customHeight="1" thickBot="1" x14ac:dyDescent="0.3">
      <c r="A14" s="39">
        <v>3</v>
      </c>
      <c r="B14" s="195" t="s">
        <v>53</v>
      </c>
      <c r="C14" s="195"/>
      <c r="D14" s="195"/>
      <c r="E14" s="195"/>
    </row>
    <row r="15" spans="1:5" ht="31.5" customHeight="1" x14ac:dyDescent="0.25">
      <c r="A15" s="40" t="s">
        <v>10</v>
      </c>
      <c r="B15" s="33" t="s">
        <v>182</v>
      </c>
      <c r="C15" s="41">
        <f>C7</f>
        <v>50</v>
      </c>
      <c r="D15" s="15">
        <v>823.53</v>
      </c>
      <c r="E15" s="35">
        <f>D15*C15</f>
        <v>41176.5</v>
      </c>
    </row>
    <row r="16" spans="1:5" ht="19.5" customHeight="1" x14ac:dyDescent="0.25">
      <c r="A16" s="40" t="s">
        <v>11</v>
      </c>
      <c r="B16" s="3" t="s">
        <v>183</v>
      </c>
      <c r="C16" s="25">
        <f>C8</f>
        <v>9</v>
      </c>
      <c r="D16" s="15">
        <v>1058.82</v>
      </c>
      <c r="E16" s="13">
        <f>D16*C16</f>
        <v>9529.3799999999992</v>
      </c>
    </row>
    <row r="17" spans="1:5" ht="15" customHeight="1" x14ac:dyDescent="0.25">
      <c r="A17" s="40" t="s">
        <v>30</v>
      </c>
      <c r="B17" s="3" t="s">
        <v>179</v>
      </c>
      <c r="C17" s="25">
        <f>C9+C10</f>
        <v>59</v>
      </c>
      <c r="D17" s="26">
        <v>141.18</v>
      </c>
      <c r="E17" s="34">
        <f>D17*C17</f>
        <v>8329.6200000000008</v>
      </c>
    </row>
    <row r="18" spans="1:5" ht="15" customHeight="1" x14ac:dyDescent="0.25">
      <c r="A18" s="40" t="s">
        <v>31</v>
      </c>
      <c r="B18" s="3" t="s">
        <v>180</v>
      </c>
      <c r="C18" s="25">
        <f>C7+C8</f>
        <v>59</v>
      </c>
      <c r="D18" s="26">
        <v>141.18</v>
      </c>
      <c r="E18" s="12">
        <f>D18*C18</f>
        <v>8329.6200000000008</v>
      </c>
    </row>
    <row r="19" spans="1:5" ht="15.75" customHeight="1" x14ac:dyDescent="0.25">
      <c r="A19" s="211" t="s">
        <v>3</v>
      </c>
      <c r="B19" s="211"/>
      <c r="C19" s="211"/>
      <c r="D19" s="16"/>
      <c r="E19" s="17">
        <f>E15+E16</f>
        <v>50705.88</v>
      </c>
    </row>
    <row r="20" spans="1:5" ht="15.75" customHeight="1" x14ac:dyDescent="0.25">
      <c r="A20" s="212"/>
      <c r="B20" s="212"/>
      <c r="C20" s="212"/>
      <c r="D20" s="212"/>
      <c r="E20" s="212"/>
    </row>
    <row r="21" spans="1:5" ht="16.5" customHeight="1" x14ac:dyDescent="0.25">
      <c r="A21" s="213" t="s">
        <v>19</v>
      </c>
      <c r="B21" s="213"/>
      <c r="C21" s="213"/>
      <c r="D21" s="213"/>
      <c r="E21" s="150">
        <f>E12+E19</f>
        <v>570701.96</v>
      </c>
    </row>
  </sheetData>
  <mergeCells count="9">
    <mergeCell ref="B14:E14"/>
    <mergeCell ref="A19:C19"/>
    <mergeCell ref="A20:E20"/>
    <mergeCell ref="A21:D21"/>
    <mergeCell ref="B1:E1"/>
    <mergeCell ref="B2:E2"/>
    <mergeCell ref="A3:E3"/>
    <mergeCell ref="B6:E6"/>
    <mergeCell ref="A12:C12"/>
  </mergeCells>
  <pageMargins left="0.27559055118110237" right="0.1574803149606299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selection activeCell="A14" sqref="A14:B14"/>
    </sheetView>
  </sheetViews>
  <sheetFormatPr defaultRowHeight="15" x14ac:dyDescent="0.25"/>
  <cols>
    <col min="1" max="1" width="11.28515625" customWidth="1"/>
    <col min="2" max="2" width="78.5703125" customWidth="1"/>
    <col min="3" max="4" width="13.140625" customWidth="1"/>
    <col min="5" max="5" width="12.85546875" customWidth="1"/>
    <col min="6" max="6" width="16.85546875" customWidth="1"/>
    <col min="7" max="7" width="9.85546875" customWidth="1"/>
    <col min="8" max="8" width="18.28515625" hidden="1" customWidth="1"/>
    <col min="9" max="10" width="11.7109375" hidden="1" customWidth="1"/>
    <col min="11" max="11" width="9.140625" hidden="1" customWidth="1"/>
    <col min="14" max="14" width="10.85546875" customWidth="1"/>
  </cols>
  <sheetData>
    <row r="1" spans="1:10" ht="15.75" x14ac:dyDescent="0.25">
      <c r="B1" s="199" t="s">
        <v>25</v>
      </c>
      <c r="C1" s="199"/>
      <c r="D1" s="199"/>
      <c r="E1" s="199"/>
      <c r="F1" s="199"/>
    </row>
    <row r="2" spans="1:10" ht="15.75" x14ac:dyDescent="0.25">
      <c r="B2" s="200" t="s">
        <v>161</v>
      </c>
      <c r="C2" s="200"/>
      <c r="D2" s="200"/>
      <c r="E2" s="200"/>
      <c r="F2" s="200"/>
    </row>
    <row r="3" spans="1:10" ht="41.25" customHeight="1" x14ac:dyDescent="0.25">
      <c r="A3" s="201" t="str">
        <f>"Садоводческое некоммерческое товарищество «" &amp;'Общий лист'!E2&amp;"»"</f>
        <v>Садоводческое некоммерческое товарищество «Южное»</v>
      </c>
      <c r="B3" s="201"/>
      <c r="C3" s="201"/>
      <c r="D3" s="201"/>
      <c r="E3" s="201"/>
      <c r="F3" s="201"/>
      <c r="H3" t="s">
        <v>132</v>
      </c>
      <c r="I3" t="s">
        <v>133</v>
      </c>
    </row>
    <row r="4" spans="1:10" ht="48" customHeight="1" thickBot="1" x14ac:dyDescent="0.3">
      <c r="A4" s="53" t="s">
        <v>0</v>
      </c>
      <c r="B4" s="53" t="s">
        <v>1</v>
      </c>
      <c r="C4" s="54" t="s">
        <v>2</v>
      </c>
      <c r="D4" s="54"/>
      <c r="E4" s="54" t="s">
        <v>185</v>
      </c>
      <c r="F4" s="54" t="s">
        <v>186</v>
      </c>
    </row>
    <row r="5" spans="1:10" ht="20.100000000000001" customHeight="1" thickBot="1" x14ac:dyDescent="0.3">
      <c r="A5" s="39" t="s">
        <v>56</v>
      </c>
      <c r="B5" s="195" t="s">
        <v>29</v>
      </c>
      <c r="C5" s="195"/>
      <c r="D5" s="195"/>
      <c r="E5" s="195"/>
      <c r="F5" s="195"/>
      <c r="G5" s="6"/>
    </row>
    <row r="6" spans="1:10" ht="15.95" customHeight="1" thickBot="1" x14ac:dyDescent="0.3">
      <c r="A6" s="124" t="s">
        <v>57</v>
      </c>
      <c r="B6" s="125" t="str">
        <f>"Однофазный счётчик "&amp;'Общий лист'!E14&amp;", шт."</f>
        <v>Однофазный счётчик Энергомера 1ф, шт.</v>
      </c>
      <c r="C6" s="168">
        <f>'Общий лист'!E6</f>
        <v>50</v>
      </c>
      <c r="D6" s="168"/>
      <c r="E6" s="169">
        <f>'Общий лист'!F14</f>
        <v>6344</v>
      </c>
      <c r="F6" s="170">
        <f>C6*E6</f>
        <v>317200</v>
      </c>
      <c r="G6" s="6"/>
      <c r="H6" s="1"/>
      <c r="I6" s="1">
        <f>F6</f>
        <v>317200</v>
      </c>
      <c r="J6" s="6"/>
    </row>
    <row r="7" spans="1:10" ht="15.95" customHeight="1" x14ac:dyDescent="0.25">
      <c r="A7" s="129" t="s">
        <v>81</v>
      </c>
      <c r="B7" s="38" t="str">
        <f>"Трехфазный счётчик "&amp;'Общий лист'!E15&amp;", шт."</f>
        <v>Трехфазный счётчик Энергомера 3ф, шт.</v>
      </c>
      <c r="C7" s="171">
        <f>'Общий лист'!E10</f>
        <v>9</v>
      </c>
      <c r="D7" s="181"/>
      <c r="E7" s="169">
        <f>'Общий лист'!F15</f>
        <v>13176</v>
      </c>
      <c r="F7" s="172">
        <f>C7*E7</f>
        <v>118584</v>
      </c>
      <c r="G7" s="6"/>
      <c r="H7" s="1">
        <f>F7</f>
        <v>118584</v>
      </c>
    </row>
    <row r="8" spans="1:10" ht="15.95" customHeight="1" x14ac:dyDescent="0.25">
      <c r="A8" s="129" t="s">
        <v>82</v>
      </c>
      <c r="B8" s="3" t="s">
        <v>50</v>
      </c>
      <c r="C8" s="171">
        <f>C6</f>
        <v>50</v>
      </c>
      <c r="D8" s="171"/>
      <c r="E8" s="23">
        <v>764.71</v>
      </c>
      <c r="F8" s="172">
        <f>C8*E8</f>
        <v>38235.5</v>
      </c>
      <c r="G8" s="6"/>
      <c r="I8" s="1">
        <f>F8</f>
        <v>38235.5</v>
      </c>
    </row>
    <row r="9" spans="1:10" ht="15.95" customHeight="1" x14ac:dyDescent="0.25">
      <c r="A9" s="129" t="s">
        <v>83</v>
      </c>
      <c r="B9" s="3" t="s">
        <v>54</v>
      </c>
      <c r="C9" s="65">
        <f>C7</f>
        <v>9</v>
      </c>
      <c r="D9" s="65"/>
      <c r="E9" s="23">
        <v>1705.88</v>
      </c>
      <c r="F9" s="172">
        <f>C9*E9</f>
        <v>15352.92</v>
      </c>
      <c r="G9" s="6"/>
      <c r="H9" s="1">
        <f>F9</f>
        <v>15352.92</v>
      </c>
    </row>
    <row r="10" spans="1:10" ht="15.95" customHeight="1" x14ac:dyDescent="0.25">
      <c r="A10" s="129" t="s">
        <v>84</v>
      </c>
      <c r="B10" s="3" t="s">
        <v>41</v>
      </c>
      <c r="C10" s="65">
        <f>(5-IF('Общий лист'!E20=3,1,IF('Общий лист'!E20=6,2,0)))*(C6+C7)</f>
        <v>236</v>
      </c>
      <c r="D10" s="65"/>
      <c r="E10" s="23">
        <v>94.12</v>
      </c>
      <c r="F10" s="172">
        <f>C10*E10</f>
        <v>22212.32</v>
      </c>
      <c r="G10" s="6"/>
      <c r="H10" s="2">
        <f>F10*C7/(C7+C6)</f>
        <v>3388.32</v>
      </c>
      <c r="I10" s="2">
        <f>F10*C6/(C7+C6)</f>
        <v>18824</v>
      </c>
      <c r="J10" s="2"/>
    </row>
    <row r="11" spans="1:10" ht="15.95" customHeight="1" x14ac:dyDescent="0.25">
      <c r="A11" s="129" t="s">
        <v>85</v>
      </c>
      <c r="B11" s="3" t="s">
        <v>175</v>
      </c>
      <c r="C11" s="65">
        <f>C10</f>
        <v>236</v>
      </c>
      <c r="D11" s="65"/>
      <c r="E11" s="23">
        <v>23.53</v>
      </c>
      <c r="F11" s="172">
        <f>C11*E11</f>
        <v>5553.08</v>
      </c>
      <c r="G11" s="6"/>
      <c r="H11" s="2">
        <f>F11*C7/(C6+C7)</f>
        <v>847.08</v>
      </c>
      <c r="I11" s="2">
        <f>F11*C6/(C6+C7)</f>
        <v>4706</v>
      </c>
      <c r="J11" s="2"/>
    </row>
    <row r="12" spans="1:10" ht="15.95" customHeight="1" x14ac:dyDescent="0.25">
      <c r="A12" s="129" t="s">
        <v>86</v>
      </c>
      <c r="B12" s="3" t="s">
        <v>141</v>
      </c>
      <c r="C12" s="65">
        <f>C13+C14</f>
        <v>136</v>
      </c>
      <c r="D12" s="65"/>
      <c r="E12" s="23">
        <v>176.47</v>
      </c>
      <c r="F12" s="172">
        <f>C12*E12</f>
        <v>23999.919999999998</v>
      </c>
      <c r="G12" s="6"/>
      <c r="H12" s="2">
        <f>(C14)*E12</f>
        <v>6352.92</v>
      </c>
      <c r="I12" s="2">
        <f>(C13)*E12</f>
        <v>17647</v>
      </c>
    </row>
    <row r="13" spans="1:10" ht="15.95" customHeight="1" x14ac:dyDescent="0.25">
      <c r="A13" s="129" t="s">
        <v>147</v>
      </c>
      <c r="B13" s="62" t="s">
        <v>78</v>
      </c>
      <c r="C13" s="65">
        <f>IF('Общий лист'!E4="СИП",'Общий лист'!E6*2,0)</f>
        <v>100</v>
      </c>
      <c r="D13" s="65"/>
      <c r="E13" s="23"/>
      <c r="F13" s="172"/>
      <c r="G13" s="6"/>
    </row>
    <row r="14" spans="1:10" ht="16.5" customHeight="1" x14ac:dyDescent="0.25">
      <c r="A14" s="129" t="s">
        <v>143</v>
      </c>
      <c r="B14" s="62" t="s">
        <v>80</v>
      </c>
      <c r="C14" s="65">
        <f>IF('Общий лист'!E4="СИП",'Общий лист'!E10*4,0)</f>
        <v>36</v>
      </c>
      <c r="D14" s="65"/>
      <c r="E14" s="23"/>
      <c r="F14" s="172"/>
      <c r="G14" s="6"/>
    </row>
    <row r="15" spans="1:10" ht="15.95" customHeight="1" x14ac:dyDescent="0.25">
      <c r="A15" s="129" t="s">
        <v>88</v>
      </c>
      <c r="B15" s="3" t="s">
        <v>190</v>
      </c>
      <c r="C15" s="171">
        <f>($C$6+$C$7)*2</f>
        <v>118</v>
      </c>
      <c r="D15" s="171" t="s">
        <v>198</v>
      </c>
      <c r="E15" s="23"/>
      <c r="F15" s="172"/>
      <c r="G15" s="6"/>
      <c r="I15" s="1"/>
    </row>
    <row r="16" spans="1:10" ht="15.95" customHeight="1" x14ac:dyDescent="0.25">
      <c r="A16" s="129" t="s">
        <v>89</v>
      </c>
      <c r="B16" s="3" t="s">
        <v>191</v>
      </c>
      <c r="C16" s="65">
        <f>$C$6+$C$7</f>
        <v>59</v>
      </c>
      <c r="D16" s="65" t="s">
        <v>198</v>
      </c>
      <c r="E16" s="23"/>
      <c r="F16" s="172"/>
      <c r="G16" s="6"/>
      <c r="H16" s="1"/>
    </row>
    <row r="17" spans="1:9" ht="15.95" customHeight="1" x14ac:dyDescent="0.25">
      <c r="A17" s="129" t="s">
        <v>90</v>
      </c>
      <c r="B17" s="3" t="s">
        <v>192</v>
      </c>
      <c r="C17" s="171">
        <f>$C$6+$C$7</f>
        <v>59</v>
      </c>
      <c r="D17" s="171" t="s">
        <v>198</v>
      </c>
      <c r="E17" s="23"/>
      <c r="F17" s="172"/>
      <c r="G17" s="6"/>
      <c r="I17" s="1"/>
    </row>
    <row r="18" spans="1:9" ht="15.95" customHeight="1" x14ac:dyDescent="0.25">
      <c r="A18" s="129" t="s">
        <v>91</v>
      </c>
      <c r="B18" s="3" t="s">
        <v>196</v>
      </c>
      <c r="C18" s="65">
        <f>C6*10</f>
        <v>500</v>
      </c>
      <c r="D18" s="65"/>
      <c r="E18" s="23"/>
      <c r="F18" s="172"/>
      <c r="G18" s="6"/>
      <c r="H18" s="1"/>
    </row>
    <row r="19" spans="1:9" ht="15.95" customHeight="1" x14ac:dyDescent="0.25">
      <c r="A19" s="129" t="s">
        <v>92</v>
      </c>
      <c r="B19" s="3" t="s">
        <v>197</v>
      </c>
      <c r="C19" s="171">
        <f>C7*10</f>
        <v>90</v>
      </c>
      <c r="D19" s="171"/>
      <c r="E19" s="23"/>
      <c r="F19" s="172"/>
      <c r="G19" s="6"/>
      <c r="I19" s="1"/>
    </row>
    <row r="20" spans="1:9" ht="15.95" customHeight="1" x14ac:dyDescent="0.25">
      <c r="A20" s="129" t="s">
        <v>93</v>
      </c>
      <c r="B20" s="3" t="s">
        <v>193</v>
      </c>
      <c r="C20" s="65">
        <f>($C$6+$C$7)*6</f>
        <v>354</v>
      </c>
      <c r="D20" s="65" t="s">
        <v>198</v>
      </c>
      <c r="E20" s="23"/>
      <c r="F20" s="172"/>
      <c r="G20" s="6"/>
      <c r="H20" s="1"/>
    </row>
    <row r="21" spans="1:9" ht="15.95" customHeight="1" x14ac:dyDescent="0.25">
      <c r="A21" s="129" t="s">
        <v>94</v>
      </c>
      <c r="B21" s="3" t="s">
        <v>194</v>
      </c>
      <c r="C21" s="171">
        <f>C7*8</f>
        <v>72</v>
      </c>
      <c r="D21" s="171" t="s">
        <v>198</v>
      </c>
      <c r="E21" s="23"/>
      <c r="F21" s="172"/>
      <c r="G21" s="6"/>
      <c r="I21" s="1"/>
    </row>
    <row r="22" spans="1:9" ht="15.95" customHeight="1" x14ac:dyDescent="0.25">
      <c r="A22" s="129" t="s">
        <v>156</v>
      </c>
      <c r="B22" s="3" t="s">
        <v>195</v>
      </c>
      <c r="C22" s="65">
        <f>C6*2</f>
        <v>100</v>
      </c>
      <c r="D22" s="65" t="s">
        <v>198</v>
      </c>
      <c r="E22" s="23"/>
      <c r="F22" s="172"/>
      <c r="G22" s="6"/>
      <c r="H22" s="1"/>
    </row>
    <row r="23" spans="1:9" ht="15.95" customHeight="1" x14ac:dyDescent="0.25">
      <c r="A23" s="129" t="s">
        <v>157</v>
      </c>
      <c r="B23" s="3" t="s">
        <v>112</v>
      </c>
      <c r="C23" s="171">
        <f>C25+C24</f>
        <v>0</v>
      </c>
      <c r="D23" s="171"/>
      <c r="E23" s="23">
        <v>176.47</v>
      </c>
      <c r="F23" s="172">
        <f>C23*E23</f>
        <v>0</v>
      </c>
      <c r="G23" s="6"/>
      <c r="I23" s="1"/>
    </row>
    <row r="24" spans="1:9" ht="15.95" customHeight="1" x14ac:dyDescent="0.25">
      <c r="A24" s="129" t="s">
        <v>204</v>
      </c>
      <c r="B24" s="3" t="s">
        <v>145</v>
      </c>
      <c r="C24" s="65">
        <f>IF('Общий лист'!E4="СИП",0,'Общий лист'!E6*2)</f>
        <v>0</v>
      </c>
      <c r="D24" s="65"/>
      <c r="E24" s="23"/>
      <c r="F24" s="172"/>
      <c r="G24" s="6"/>
      <c r="H24" s="1"/>
    </row>
    <row r="25" spans="1:9" s="6" customFormat="1" ht="15.95" customHeight="1" x14ac:dyDescent="0.25">
      <c r="A25" s="177" t="s">
        <v>205</v>
      </c>
      <c r="B25" s="64" t="s">
        <v>146</v>
      </c>
      <c r="C25" s="171">
        <f>IF('Общий лист'!E4="СИП",0,'Общий лист'!E10*4)</f>
        <v>0</v>
      </c>
      <c r="D25" s="171"/>
      <c r="E25" s="173"/>
      <c r="F25" s="178"/>
    </row>
    <row r="26" spans="1:9" s="6" customFormat="1" ht="15.75" customHeight="1" x14ac:dyDescent="0.25">
      <c r="A26" s="179" t="s">
        <v>206</v>
      </c>
      <c r="B26" s="47" t="s">
        <v>138</v>
      </c>
      <c r="C26" s="171">
        <f>C27+C28</f>
        <v>136</v>
      </c>
      <c r="D26" s="171"/>
      <c r="E26" s="173">
        <v>30.59</v>
      </c>
      <c r="F26" s="178">
        <f>C26*E26</f>
        <v>4160.24</v>
      </c>
      <c r="H26" s="180"/>
      <c r="I26" s="180"/>
    </row>
    <row r="27" spans="1:9" s="6" customFormat="1" ht="15.95" customHeight="1" x14ac:dyDescent="0.25">
      <c r="A27" s="177" t="s">
        <v>210</v>
      </c>
      <c r="B27" s="64" t="s">
        <v>140</v>
      </c>
      <c r="C27" s="171">
        <f>C6*2</f>
        <v>100</v>
      </c>
      <c r="D27" s="171"/>
      <c r="E27" s="173"/>
      <c r="F27" s="178"/>
    </row>
    <row r="28" spans="1:9" s="6" customFormat="1" ht="15.95" customHeight="1" x14ac:dyDescent="0.25">
      <c r="A28" s="177" t="s">
        <v>211</v>
      </c>
      <c r="B28" s="64" t="s">
        <v>139</v>
      </c>
      <c r="C28" s="171">
        <f>C7*4</f>
        <v>36</v>
      </c>
      <c r="D28" s="171"/>
      <c r="E28" s="173"/>
      <c r="F28" s="178"/>
    </row>
    <row r="29" spans="1:9" ht="15.95" customHeight="1" x14ac:dyDescent="0.25">
      <c r="A29" s="129" t="s">
        <v>207</v>
      </c>
      <c r="B29" s="3" t="s">
        <v>42</v>
      </c>
      <c r="C29" s="65">
        <f>(14-('Общий лист'!E20-1.8)*2.2)*'Общий лист'!E6</f>
        <v>568</v>
      </c>
      <c r="D29" s="65"/>
      <c r="E29" s="23">
        <v>52.94</v>
      </c>
      <c r="F29" s="172">
        <f>C29*E29</f>
        <v>30069.919999999998</v>
      </c>
      <c r="G29" s="6"/>
      <c r="I29" s="1">
        <f>F29</f>
        <v>30069.919999999998</v>
      </c>
    </row>
    <row r="30" spans="1:9" ht="15.95" customHeight="1" x14ac:dyDescent="0.25">
      <c r="A30" s="129" t="s">
        <v>208</v>
      </c>
      <c r="B30" s="3" t="s">
        <v>63</v>
      </c>
      <c r="C30" s="65">
        <f>(14-('Общий лист'!E20-1.8)*2.2)*'Общий лист'!E10</f>
        <v>102</v>
      </c>
      <c r="D30" s="65"/>
      <c r="E30" s="23">
        <v>105.88</v>
      </c>
      <c r="F30" s="172">
        <f>C30*E30</f>
        <v>10799.76</v>
      </c>
      <c r="G30" s="6"/>
      <c r="H30" s="1">
        <f>F30</f>
        <v>10799.76</v>
      </c>
    </row>
    <row r="31" spans="1:9" ht="15.95" customHeight="1" x14ac:dyDescent="0.25">
      <c r="A31" s="129" t="s">
        <v>209</v>
      </c>
      <c r="B31" s="3" t="s">
        <v>64</v>
      </c>
      <c r="C31" s="65">
        <f>6*(C6+C7)</f>
        <v>354</v>
      </c>
      <c r="D31" s="65"/>
      <c r="E31" s="23">
        <v>1.76</v>
      </c>
      <c r="F31" s="172">
        <f>C31*E31</f>
        <v>623.04</v>
      </c>
      <c r="G31" s="6"/>
      <c r="H31">
        <f>F31*C7/(C7+C6)</f>
        <v>95.04</v>
      </c>
      <c r="I31">
        <f>F31*C6/(C7+C6)</f>
        <v>528</v>
      </c>
    </row>
    <row r="32" spans="1:9" ht="15.95" customHeight="1" x14ac:dyDescent="0.25">
      <c r="A32" s="129" t="s">
        <v>212</v>
      </c>
      <c r="B32" s="3" t="str">
        <f>"Автоматический выключатель ВА47-29 " &amp;'Общий лист'!E9&amp;"А, 1р"</f>
        <v>Автоматический выключатель ВА47-29 40А, 1р</v>
      </c>
      <c r="C32" s="65">
        <f>C8</f>
        <v>50</v>
      </c>
      <c r="D32" s="65"/>
      <c r="E32" s="23">
        <v>94.12</v>
      </c>
      <c r="F32" s="172">
        <f>C32*E32</f>
        <v>4706</v>
      </c>
      <c r="G32" s="6"/>
      <c r="I32" s="1">
        <f>F32</f>
        <v>4706</v>
      </c>
    </row>
    <row r="33" spans="1:16" ht="15.95" customHeight="1" thickBot="1" x14ac:dyDescent="0.3">
      <c r="A33" s="129" t="s">
        <v>213</v>
      </c>
      <c r="B33" s="131" t="str">
        <f>"Автоматический выключатель ВА47-29 " &amp;'Общий лист'!E13&amp;"А, 3р"</f>
        <v>Автоматический выключатель ВА47-29 25А, 3р</v>
      </c>
      <c r="C33" s="174">
        <f>C9</f>
        <v>9</v>
      </c>
      <c r="D33" s="174"/>
      <c r="E33" s="175">
        <v>258.82</v>
      </c>
      <c r="F33" s="176">
        <f>C33*E33</f>
        <v>2329.38</v>
      </c>
      <c r="G33" s="6"/>
      <c r="H33" s="1">
        <f>F33</f>
        <v>2329.38</v>
      </c>
    </row>
    <row r="34" spans="1:16" ht="15.95" customHeight="1" thickBot="1" x14ac:dyDescent="0.3">
      <c r="A34" s="202" t="s">
        <v>51</v>
      </c>
      <c r="B34" s="203"/>
      <c r="C34" s="203"/>
      <c r="D34" s="203"/>
      <c r="E34" s="204"/>
      <c r="F34" s="123">
        <f>SUBTOTAL(109,F6:F33)</f>
        <v>593826.07999999996</v>
      </c>
      <c r="G34" s="6"/>
      <c r="H34" s="74">
        <f>SUBTOTAL(109,H6:H33)</f>
        <v>157749.4</v>
      </c>
      <c r="I34" s="74">
        <f>SUBTOTAL(109,I6:I33)</f>
        <v>431916.4</v>
      </c>
      <c r="J34" s="2"/>
    </row>
    <row r="35" spans="1:16" ht="15.95" customHeight="1" thickBot="1" x14ac:dyDescent="0.3">
      <c r="A35" s="58"/>
      <c r="B35" s="59"/>
      <c r="C35" s="66"/>
      <c r="D35" s="66"/>
      <c r="E35" s="60"/>
      <c r="F35" s="61"/>
      <c r="G35" s="6"/>
      <c r="J35" s="1"/>
    </row>
    <row r="36" spans="1:16" ht="20.100000000000001" customHeight="1" thickBot="1" x14ac:dyDescent="0.3">
      <c r="A36" s="39" t="s">
        <v>60</v>
      </c>
      <c r="B36" s="195" t="s">
        <v>9</v>
      </c>
      <c r="C36" s="195"/>
      <c r="D36" s="195"/>
      <c r="E36" s="195"/>
      <c r="F36" s="195"/>
      <c r="G36" s="6"/>
    </row>
    <row r="37" spans="1:16" ht="31.5" x14ac:dyDescent="0.25">
      <c r="A37" s="40" t="s">
        <v>6</v>
      </c>
      <c r="B37" s="33" t="s">
        <v>45</v>
      </c>
      <c r="C37" s="41">
        <f>C6</f>
        <v>50</v>
      </c>
      <c r="D37" s="41"/>
      <c r="E37" s="15">
        <v>2352.94</v>
      </c>
      <c r="F37" s="35">
        <f>E37*C37</f>
        <v>117647</v>
      </c>
      <c r="G37" s="6"/>
      <c r="I37" s="1">
        <f>F37</f>
        <v>117647</v>
      </c>
      <c r="J37" s="50"/>
      <c r="L37" s="50"/>
      <c r="M37" s="50"/>
      <c r="N37" s="50"/>
      <c r="O37" s="50"/>
      <c r="P37" s="50"/>
    </row>
    <row r="38" spans="1:16" ht="36" customHeight="1" thickBot="1" x14ac:dyDescent="0.3">
      <c r="A38" s="4" t="s">
        <v>7</v>
      </c>
      <c r="B38" s="3" t="s">
        <v>40</v>
      </c>
      <c r="C38" s="41">
        <f>C7</f>
        <v>9</v>
      </c>
      <c r="D38" s="41"/>
      <c r="E38" s="15">
        <v>3058.82</v>
      </c>
      <c r="F38" s="34">
        <f>E38*C38</f>
        <v>27529.38</v>
      </c>
      <c r="G38" s="6"/>
      <c r="H38" s="1">
        <f>F38</f>
        <v>27529.38</v>
      </c>
      <c r="J38" s="50"/>
      <c r="K38" s="57"/>
      <c r="L38" s="51"/>
      <c r="M38" s="52"/>
      <c r="N38" s="52"/>
      <c r="O38" s="51"/>
      <c r="P38" s="50"/>
    </row>
    <row r="39" spans="1:16" ht="16.5" thickBot="1" x14ac:dyDescent="0.3">
      <c r="A39" s="196" t="s">
        <v>95</v>
      </c>
      <c r="B39" s="197"/>
      <c r="C39" s="197"/>
      <c r="D39" s="197"/>
      <c r="E39" s="198"/>
      <c r="F39" s="67">
        <f>F37+F38</f>
        <v>145176.38</v>
      </c>
      <c r="G39" s="6"/>
      <c r="J39" s="50"/>
      <c r="K39" s="56"/>
      <c r="L39" s="50"/>
      <c r="N39" s="50"/>
      <c r="O39" s="50"/>
      <c r="P39" s="50"/>
    </row>
    <row r="40" spans="1:16" x14ac:dyDescent="0.25">
      <c r="H40" s="1">
        <f>H38+H34</f>
        <v>185278.78</v>
      </c>
      <c r="I40" s="1">
        <f>I37+I34</f>
        <v>549563.4</v>
      </c>
    </row>
    <row r="41" spans="1:16" hidden="1" x14ac:dyDescent="0.25">
      <c r="B41" t="str">
        <f>"Автоматический выключатель ВА47-29 " &amp;'Общий лист'!E9&amp;"А, 1р"</f>
        <v>Автоматический выключатель ВА47-29 40А, 1р</v>
      </c>
    </row>
  </sheetData>
  <sheetProtection formatCells="0" formatColumns="0" formatRows="0" insertColumns="0" insertRows="0" insertHyperlinks="0" sort="0" autoFilter="0" pivotTables="0"/>
  <mergeCells count="7">
    <mergeCell ref="B36:F36"/>
    <mergeCell ref="A39:E39"/>
    <mergeCell ref="B1:F1"/>
    <mergeCell ref="B2:F2"/>
    <mergeCell ref="A3:F3"/>
    <mergeCell ref="B5:F5"/>
    <mergeCell ref="A34:E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85" zoomScaleNormal="85" workbookViewId="0">
      <selection activeCell="A14" sqref="A14:B14"/>
    </sheetView>
  </sheetViews>
  <sheetFormatPr defaultRowHeight="15" x14ac:dyDescent="0.25"/>
  <cols>
    <col min="1" max="1" width="10.7109375" customWidth="1"/>
    <col min="2" max="2" width="78.7109375" customWidth="1"/>
    <col min="4" max="4" width="14.140625" customWidth="1"/>
    <col min="5" max="5" width="15.28515625" customWidth="1"/>
    <col min="6" max="6" width="10" style="5" hidden="1" customWidth="1"/>
    <col min="7" max="7" width="11.7109375" style="5" hidden="1" customWidth="1"/>
    <col min="8" max="8" width="13.85546875" style="5" hidden="1" customWidth="1"/>
    <col min="9" max="9" width="17.7109375" style="5" customWidth="1"/>
    <col min="10" max="11" width="9.140625" style="5"/>
  </cols>
  <sheetData>
    <row r="1" spans="1:8" ht="15.75" x14ac:dyDescent="0.25">
      <c r="B1" s="199" t="s">
        <v>25</v>
      </c>
      <c r="C1" s="199"/>
      <c r="D1" s="199"/>
      <c r="E1" s="199"/>
    </row>
    <row r="2" spans="1:8" ht="15.75" x14ac:dyDescent="0.25">
      <c r="B2" s="200" t="s">
        <v>162</v>
      </c>
      <c r="C2" s="200"/>
      <c r="D2" s="200"/>
      <c r="E2" s="200"/>
    </row>
    <row r="3" spans="1:8" ht="40.5" customHeight="1" x14ac:dyDescent="0.25">
      <c r="A3" s="201" t="str">
        <f>"Садоводческое некоммерческое товарищество «" &amp;'Общий лист'!E2&amp;"»"</f>
        <v>Садоводческое некоммерческое товарищество «Южное»</v>
      </c>
      <c r="B3" s="201"/>
      <c r="C3" s="201"/>
      <c r="D3" s="201"/>
      <c r="E3" s="201"/>
    </row>
    <row r="4" spans="1:8" ht="59.25" customHeight="1" thickBot="1" x14ac:dyDescent="0.3">
      <c r="A4" s="53" t="s">
        <v>0</v>
      </c>
      <c r="B4" s="53" t="s">
        <v>1</v>
      </c>
      <c r="C4" s="54" t="s">
        <v>2</v>
      </c>
      <c r="D4" s="54" t="s">
        <v>185</v>
      </c>
      <c r="E4" s="54" t="s">
        <v>186</v>
      </c>
    </row>
    <row r="5" spans="1:8" ht="16.5" thickBot="1" x14ac:dyDescent="0.3">
      <c r="A5" s="39" t="s">
        <v>56</v>
      </c>
      <c r="B5" s="195" t="s">
        <v>28</v>
      </c>
      <c r="C5" s="195"/>
      <c r="D5" s="195"/>
      <c r="E5" s="195"/>
      <c r="G5" s="5" t="s">
        <v>134</v>
      </c>
      <c r="H5" s="5" t="s">
        <v>135</v>
      </c>
    </row>
    <row r="6" spans="1:8" ht="15.75" x14ac:dyDescent="0.25">
      <c r="A6" s="124" t="s">
        <v>57</v>
      </c>
      <c r="B6" s="125" t="str">
        <f>"Однофазный счётчик "&amp;'Общий лист'!E14&amp;", шт."</f>
        <v>Однофазный счётчик Энергомера 1ф, шт.</v>
      </c>
      <c r="C6" s="126">
        <f>'Общий лист'!E6</f>
        <v>50</v>
      </c>
      <c r="D6" s="11">
        <f>'Общий лист'!F14</f>
        <v>6344</v>
      </c>
      <c r="E6" s="128">
        <f>C6*D6</f>
        <v>317200</v>
      </c>
      <c r="H6" s="43">
        <f>E6</f>
        <v>317200</v>
      </c>
    </row>
    <row r="7" spans="1:8" ht="15.75" x14ac:dyDescent="0.25">
      <c r="A7" s="4" t="s">
        <v>81</v>
      </c>
      <c r="B7" s="182" t="str">
        <f>'Монтаж на опоре'!B7</f>
        <v>Трехфазный счётчик Энергомера 3ф, шт.</v>
      </c>
      <c r="C7" s="22">
        <f>'Общий лист'!E10</f>
        <v>9</v>
      </c>
      <c r="D7" s="11">
        <f>'Общий лист'!F15</f>
        <v>13176</v>
      </c>
      <c r="E7" s="13">
        <f>C7*D7</f>
        <v>118584</v>
      </c>
      <c r="G7" s="43">
        <f>E7</f>
        <v>118584</v>
      </c>
    </row>
    <row r="8" spans="1:8" ht="15.75" x14ac:dyDescent="0.25">
      <c r="A8" s="4" t="s">
        <v>82</v>
      </c>
      <c r="B8" s="182" t="s">
        <v>50</v>
      </c>
      <c r="C8" s="22">
        <f>C6</f>
        <v>50</v>
      </c>
      <c r="D8" s="11">
        <v>764.71</v>
      </c>
      <c r="E8" s="13">
        <f>C8*D8</f>
        <v>38235.5</v>
      </c>
      <c r="H8" s="43">
        <f>E8</f>
        <v>38235.5</v>
      </c>
    </row>
    <row r="9" spans="1:8" ht="15.75" x14ac:dyDescent="0.25">
      <c r="A9" s="4" t="s">
        <v>83</v>
      </c>
      <c r="B9" s="182" t="s">
        <v>54</v>
      </c>
      <c r="C9" s="22">
        <f>C7</f>
        <v>9</v>
      </c>
      <c r="D9" s="11">
        <v>1705.88</v>
      </c>
      <c r="E9" s="13">
        <f>C9*D9</f>
        <v>15352.92</v>
      </c>
      <c r="G9" s="43">
        <f>E9</f>
        <v>15352.92</v>
      </c>
    </row>
    <row r="10" spans="1:8" ht="15.75" x14ac:dyDescent="0.25">
      <c r="A10" s="4" t="s">
        <v>84</v>
      </c>
      <c r="B10" s="182" t="s">
        <v>190</v>
      </c>
      <c r="C10" s="22">
        <f>(C6+C7)*2</f>
        <v>118</v>
      </c>
      <c r="D10" s="11"/>
      <c r="E10" s="13"/>
      <c r="H10" s="43"/>
    </row>
    <row r="11" spans="1:8" ht="15.75" x14ac:dyDescent="0.25">
      <c r="A11" s="4" t="s">
        <v>85</v>
      </c>
      <c r="B11" s="182" t="s">
        <v>201</v>
      </c>
      <c r="C11" s="22">
        <f>C6*2+C7*4</f>
        <v>136</v>
      </c>
      <c r="D11" s="11"/>
      <c r="E11" s="13"/>
      <c r="G11" s="43"/>
    </row>
    <row r="12" spans="1:8" ht="15.75" x14ac:dyDescent="0.25">
      <c r="A12" s="4" t="s">
        <v>86</v>
      </c>
      <c r="B12" s="182" t="s">
        <v>191</v>
      </c>
      <c r="C12" s="22">
        <f>$C$6+$C$7</f>
        <v>59</v>
      </c>
      <c r="D12" s="11"/>
      <c r="E12" s="13"/>
      <c r="H12" s="43"/>
    </row>
    <row r="13" spans="1:8" ht="15.75" x14ac:dyDescent="0.25">
      <c r="A13" s="4" t="s">
        <v>87</v>
      </c>
      <c r="B13" s="182" t="s">
        <v>199</v>
      </c>
      <c r="C13" s="22">
        <f>$C$6+$C$7</f>
        <v>59</v>
      </c>
      <c r="D13" s="11"/>
      <c r="E13" s="13"/>
      <c r="G13" s="43"/>
    </row>
    <row r="14" spans="1:8" ht="15.75" x14ac:dyDescent="0.25">
      <c r="A14" s="4" t="s">
        <v>88</v>
      </c>
      <c r="B14" s="182" t="s">
        <v>200</v>
      </c>
      <c r="C14" s="22">
        <f>$C$6+$C$7</f>
        <v>59</v>
      </c>
      <c r="D14" s="11"/>
      <c r="E14" s="13"/>
      <c r="H14" s="43"/>
    </row>
    <row r="15" spans="1:8" ht="15.75" x14ac:dyDescent="0.25">
      <c r="A15" s="4" t="s">
        <v>89</v>
      </c>
      <c r="B15" s="182" t="s">
        <v>192</v>
      </c>
      <c r="C15" s="22">
        <f>$C$6+$C$7</f>
        <v>59</v>
      </c>
      <c r="D15" s="11"/>
      <c r="E15" s="13"/>
      <c r="G15" s="43"/>
    </row>
    <row r="16" spans="1:8" ht="31.5" x14ac:dyDescent="0.25">
      <c r="A16" s="4" t="s">
        <v>90</v>
      </c>
      <c r="B16" s="182" t="s">
        <v>196</v>
      </c>
      <c r="C16" s="22">
        <f>C6*12</f>
        <v>600</v>
      </c>
      <c r="D16" s="11"/>
      <c r="E16" s="13"/>
      <c r="G16" s="5" t="s">
        <v>62</v>
      </c>
      <c r="H16" s="43"/>
    </row>
    <row r="17" spans="1:8" ht="31.5" x14ac:dyDescent="0.25">
      <c r="A17" s="4" t="s">
        <v>91</v>
      </c>
      <c r="B17" s="182" t="s">
        <v>197</v>
      </c>
      <c r="C17" s="22">
        <f>C7*12</f>
        <v>108</v>
      </c>
      <c r="D17" s="11"/>
      <c r="E17" s="13"/>
      <c r="G17" s="43" t="s">
        <v>61</v>
      </c>
    </row>
    <row r="18" spans="1:8" ht="15.75" x14ac:dyDescent="0.25">
      <c r="A18" s="4" t="s">
        <v>92</v>
      </c>
      <c r="B18" s="182" t="s">
        <v>202</v>
      </c>
      <c r="C18" s="22">
        <f>C16</f>
        <v>600</v>
      </c>
      <c r="D18" s="11"/>
      <c r="E18" s="13"/>
      <c r="H18" s="43"/>
    </row>
    <row r="19" spans="1:8" ht="15.75" x14ac:dyDescent="0.25">
      <c r="A19" s="4" t="s">
        <v>93</v>
      </c>
      <c r="B19" s="182" t="s">
        <v>203</v>
      </c>
      <c r="C19" s="22">
        <f>C17</f>
        <v>108</v>
      </c>
      <c r="D19" s="11"/>
      <c r="E19" s="13"/>
      <c r="G19" s="43"/>
    </row>
    <row r="20" spans="1:8" ht="15.75" x14ac:dyDescent="0.25">
      <c r="A20" s="4" t="s">
        <v>94</v>
      </c>
      <c r="B20" s="182" t="s">
        <v>194</v>
      </c>
      <c r="C20" s="22">
        <f>C7*8</f>
        <v>72</v>
      </c>
      <c r="D20" s="11"/>
      <c r="E20" s="13"/>
      <c r="H20" s="43"/>
    </row>
    <row r="21" spans="1:8" ht="15.75" x14ac:dyDescent="0.25">
      <c r="A21" s="4" t="s">
        <v>156</v>
      </c>
      <c r="B21" s="182" t="s">
        <v>195</v>
      </c>
      <c r="C21" s="22">
        <f>C6*2</f>
        <v>100</v>
      </c>
      <c r="D21" s="11"/>
      <c r="E21" s="13"/>
      <c r="G21" s="43"/>
    </row>
    <row r="22" spans="1:8" ht="15.75" x14ac:dyDescent="0.25">
      <c r="A22" s="4" t="s">
        <v>157</v>
      </c>
      <c r="B22" s="182" t="s">
        <v>142</v>
      </c>
      <c r="C22" s="22">
        <f>C23+C24</f>
        <v>136</v>
      </c>
      <c r="D22" s="11">
        <v>30.59</v>
      </c>
      <c r="E22" s="13">
        <f>C22*D22</f>
        <v>4160.24</v>
      </c>
      <c r="G22" s="5">
        <f>C24*D22</f>
        <v>1101.24</v>
      </c>
      <c r="H22" s="43">
        <f>C23*D22</f>
        <v>3059</v>
      </c>
    </row>
    <row r="23" spans="1:8" ht="15.75" x14ac:dyDescent="0.25">
      <c r="A23" s="4" t="s">
        <v>204</v>
      </c>
      <c r="B23" s="182" t="s">
        <v>78</v>
      </c>
      <c r="C23" s="22">
        <f>'Общий лист'!E6*2</f>
        <v>100</v>
      </c>
      <c r="D23" s="11"/>
      <c r="E23" s="13"/>
      <c r="G23" s="43"/>
    </row>
    <row r="24" spans="1:8" ht="15.75" x14ac:dyDescent="0.25">
      <c r="A24" s="4" t="s">
        <v>205</v>
      </c>
      <c r="B24" s="182" t="s">
        <v>80</v>
      </c>
      <c r="C24" s="22">
        <f>'Общий лист'!E10*4</f>
        <v>36</v>
      </c>
      <c r="D24" s="11"/>
      <c r="E24" s="13"/>
      <c r="H24" s="43"/>
    </row>
    <row r="25" spans="1:8" ht="15.75" x14ac:dyDescent="0.25">
      <c r="A25" s="4" t="s">
        <v>206</v>
      </c>
      <c r="B25" s="182" t="s">
        <v>42</v>
      </c>
      <c r="C25" s="22">
        <f>4*C6</f>
        <v>200</v>
      </c>
      <c r="D25" s="11">
        <v>52.94</v>
      </c>
      <c r="E25" s="13">
        <f>C25*D25</f>
        <v>10588</v>
      </c>
      <c r="G25" s="43"/>
      <c r="H25" s="5">
        <f>E25</f>
        <v>10588</v>
      </c>
    </row>
    <row r="26" spans="1:8" ht="15.75" x14ac:dyDescent="0.25">
      <c r="A26" s="4" t="s">
        <v>207</v>
      </c>
      <c r="B26" s="182" t="s">
        <v>63</v>
      </c>
      <c r="C26" s="22">
        <f>4*C7</f>
        <v>36</v>
      </c>
      <c r="D26" s="11">
        <v>105.88</v>
      </c>
      <c r="E26" s="13">
        <f>C26*D26</f>
        <v>3811.68</v>
      </c>
      <c r="G26" s="5">
        <f>E26</f>
        <v>3811.68</v>
      </c>
      <c r="H26" s="43"/>
    </row>
    <row r="27" spans="1:8" ht="15.75" x14ac:dyDescent="0.25">
      <c r="A27" s="4" t="s">
        <v>208</v>
      </c>
      <c r="B27" s="182" t="str">
        <f>"Автоматический выключатель ВА47-29 " &amp;'Общий лист'!E9&amp;"А, 1р"</f>
        <v>Автоматический выключатель ВА47-29 40А, 1р</v>
      </c>
      <c r="C27" s="22">
        <f>C8</f>
        <v>50</v>
      </c>
      <c r="D27" s="11">
        <v>94.12</v>
      </c>
      <c r="E27" s="13">
        <f>C27*D27</f>
        <v>4706</v>
      </c>
      <c r="G27" s="43"/>
      <c r="H27" s="5">
        <f>E27</f>
        <v>4706</v>
      </c>
    </row>
    <row r="28" spans="1:8" ht="15.75" x14ac:dyDescent="0.25">
      <c r="A28" s="4" t="s">
        <v>209</v>
      </c>
      <c r="B28" s="182" t="str">
        <f>"Автоматический выключатель ВА47-29 " &amp;'Общий лист'!E13&amp;"А, 3р"</f>
        <v>Автоматический выключатель ВА47-29 25А, 3р</v>
      </c>
      <c r="C28" s="22">
        <f>C9</f>
        <v>9</v>
      </c>
      <c r="D28" s="11">
        <v>258.82</v>
      </c>
      <c r="E28" s="13">
        <f>C28*D28</f>
        <v>2329.38</v>
      </c>
      <c r="G28" s="5">
        <f>E28</f>
        <v>2329.38</v>
      </c>
      <c r="H28" s="43"/>
    </row>
    <row r="29" spans="1:8" ht="15.75" x14ac:dyDescent="0.25">
      <c r="A29" s="205" t="s">
        <v>51</v>
      </c>
      <c r="B29" s="206"/>
      <c r="C29" s="206"/>
      <c r="D29" s="207"/>
      <c r="E29" s="31">
        <f>SUBTOTAL(109,E6:E28)</f>
        <v>514967.72</v>
      </c>
      <c r="F29" s="43"/>
      <c r="G29" s="5">
        <f>SUBTOTAL(109,G6:G28)</f>
        <v>141179.22</v>
      </c>
      <c r="H29" s="5">
        <f>SUBTOTAL(109,H6:H28)</f>
        <v>373788.5</v>
      </c>
    </row>
    <row r="30" spans="1:8" ht="16.5" thickBot="1" x14ac:dyDescent="0.3">
      <c r="A30" s="19"/>
      <c r="B30" s="20"/>
      <c r="C30" s="19"/>
      <c r="D30" s="19"/>
      <c r="E30" s="19"/>
    </row>
    <row r="31" spans="1:8" ht="16.5" thickBot="1" x14ac:dyDescent="0.3">
      <c r="A31" s="39" t="s">
        <v>60</v>
      </c>
      <c r="B31" s="195" t="s">
        <v>9</v>
      </c>
      <c r="C31" s="195"/>
      <c r="D31" s="195"/>
      <c r="E31" s="195"/>
    </row>
    <row r="32" spans="1:8" ht="31.5" x14ac:dyDescent="0.25">
      <c r="A32" s="40" t="s">
        <v>6</v>
      </c>
      <c r="B32" s="33" t="s">
        <v>65</v>
      </c>
      <c r="C32" s="41">
        <f>C6</f>
        <v>50</v>
      </c>
      <c r="D32" s="15">
        <v>1529.41</v>
      </c>
      <c r="E32" s="35">
        <f>D32*C32</f>
        <v>76470.5</v>
      </c>
      <c r="H32" s="43">
        <f>E32</f>
        <v>76470.5</v>
      </c>
    </row>
    <row r="33" spans="1:9" ht="31.5" x14ac:dyDescent="0.25">
      <c r="A33" s="4" t="s">
        <v>11</v>
      </c>
      <c r="B33" s="3" t="s">
        <v>66</v>
      </c>
      <c r="C33" s="41">
        <f>C7</f>
        <v>9</v>
      </c>
      <c r="D33" s="15">
        <v>1764.71</v>
      </c>
      <c r="E33" s="34">
        <f>D33*C33</f>
        <v>15882.39</v>
      </c>
      <c r="G33" s="43">
        <f>E33</f>
        <v>15882.39</v>
      </c>
    </row>
    <row r="34" spans="1:9" ht="15.75" x14ac:dyDescent="0.25">
      <c r="A34" s="208" t="s">
        <v>58</v>
      </c>
      <c r="B34" s="209"/>
      <c r="C34" s="209"/>
      <c r="D34" s="210"/>
      <c r="E34" s="17">
        <f>SUBTOTAL(109,E32:E33)</f>
        <v>92352.89</v>
      </c>
    </row>
    <row r="35" spans="1:9" x14ac:dyDescent="0.25">
      <c r="G35" s="43">
        <f>G33+G29</f>
        <v>157061.60999999999</v>
      </c>
      <c r="H35" s="43">
        <f>H32+H29</f>
        <v>450259</v>
      </c>
      <c r="I35" s="43"/>
    </row>
  </sheetData>
  <sheetProtection formatCells="0" formatColumns="0" formatRows="0" insertHyperlinks="0" sort="0" autoFilter="0" pivotTables="0"/>
  <mergeCells count="7">
    <mergeCell ref="A29:D29"/>
    <mergeCell ref="B31:E31"/>
    <mergeCell ref="A34:D34"/>
    <mergeCell ref="B1:E1"/>
    <mergeCell ref="B2:E2"/>
    <mergeCell ref="A3:E3"/>
    <mergeCell ref="B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5" zoomScaleNormal="85" workbookViewId="0">
      <selection activeCell="A14" sqref="A14:B14"/>
    </sheetView>
  </sheetViews>
  <sheetFormatPr defaultRowHeight="15" x14ac:dyDescent="0.25"/>
  <cols>
    <col min="1" max="1" width="6.28515625" style="68" customWidth="1"/>
    <col min="2" max="2" width="78.5703125" customWidth="1"/>
    <col min="3" max="3" width="13.140625" customWidth="1"/>
    <col min="4" max="4" width="15" customWidth="1"/>
    <col min="5" max="5" width="16.85546875" customWidth="1"/>
    <col min="6" max="6" width="4.42578125" customWidth="1"/>
    <col min="13" max="13" width="10.85546875" customWidth="1"/>
  </cols>
  <sheetData>
    <row r="1" spans="1:15" ht="15.75" x14ac:dyDescent="0.25">
      <c r="B1" s="199" t="s">
        <v>25</v>
      </c>
      <c r="C1" s="199"/>
      <c r="D1" s="199"/>
      <c r="E1" s="199"/>
    </row>
    <row r="2" spans="1:15" ht="15.75" x14ac:dyDescent="0.25">
      <c r="B2" s="200" t="s">
        <v>160</v>
      </c>
      <c r="C2" s="200"/>
      <c r="D2" s="200"/>
      <c r="E2" s="200"/>
    </row>
    <row r="3" spans="1:15" ht="41.25" customHeight="1" x14ac:dyDescent="0.25">
      <c r="A3" s="201" t="str">
        <f>"Садоводческое некоммерческое товарищество «" &amp;'Общий лист'!E2&amp;"»"</f>
        <v>Садоводческое некоммерческое товарищество «Южное»</v>
      </c>
      <c r="B3" s="201"/>
      <c r="C3" s="201"/>
      <c r="D3" s="201"/>
      <c r="E3" s="201"/>
    </row>
    <row r="4" spans="1:15" ht="57.75" customHeight="1" x14ac:dyDescent="0.25">
      <c r="A4" s="69" t="s">
        <v>0</v>
      </c>
      <c r="B4" s="53" t="s">
        <v>1</v>
      </c>
      <c r="C4" s="54" t="s">
        <v>2</v>
      </c>
      <c r="D4" s="54" t="s">
        <v>185</v>
      </c>
      <c r="E4" s="54" t="s">
        <v>186</v>
      </c>
    </row>
    <row r="5" spans="1:15" ht="16.5" thickBot="1" x14ac:dyDescent="0.3">
      <c r="A5" s="70"/>
      <c r="B5" s="20"/>
      <c r="C5" s="19"/>
      <c r="D5" s="19"/>
      <c r="E5" s="19"/>
      <c r="F5" s="6"/>
      <c r="I5" s="50"/>
      <c r="J5" s="50"/>
      <c r="K5" s="50"/>
      <c r="L5" s="50"/>
      <c r="M5" s="50"/>
      <c r="N5" s="50"/>
      <c r="O5" s="50"/>
    </row>
    <row r="6" spans="1:15" ht="20.100000000000001" customHeight="1" thickBot="1" x14ac:dyDescent="0.3">
      <c r="A6" s="71" t="s">
        <v>164</v>
      </c>
      <c r="B6" s="195" t="s">
        <v>12</v>
      </c>
      <c r="C6" s="195"/>
      <c r="D6" s="195"/>
      <c r="E6" s="195"/>
      <c r="F6" s="6"/>
      <c r="I6" s="50"/>
      <c r="J6" s="50"/>
      <c r="K6" s="50"/>
      <c r="L6" s="50"/>
      <c r="M6" s="50"/>
      <c r="N6" s="50"/>
      <c r="O6" s="50"/>
    </row>
    <row r="7" spans="1:15" ht="20.100000000000001" customHeight="1" x14ac:dyDescent="0.25">
      <c r="A7" s="63" t="s">
        <v>10</v>
      </c>
      <c r="B7" s="38" t="str">
        <f>"Трехфазный счётчик "&amp;'Общий лист'!E15&amp;", шт."</f>
        <v>Трехфазный счётчик Энергомера 3ф, шт.</v>
      </c>
      <c r="C7" s="44">
        <f>'Общий лист'!E5</f>
        <v>1</v>
      </c>
      <c r="D7" s="27">
        <f>'Общий лист'!F16</f>
        <v>9028</v>
      </c>
      <c r="E7" s="29">
        <f>D7*C7</f>
        <v>9028</v>
      </c>
      <c r="F7" s="6"/>
      <c r="I7" s="50"/>
      <c r="J7" s="50"/>
      <c r="K7" s="50"/>
      <c r="L7" s="50"/>
      <c r="M7" s="50"/>
      <c r="N7" s="50"/>
      <c r="O7" s="50"/>
    </row>
    <row r="8" spans="1:15" ht="15.95" customHeight="1" x14ac:dyDescent="0.25">
      <c r="A8" s="63" t="s">
        <v>11</v>
      </c>
      <c r="B8" s="36" t="str">
        <f>"Трансформаторы тока Т-0,66 МУ3  0,5S (монтаж в ТП), шт."</f>
        <v>Трансформаторы тока Т-0,66 МУ3  0,5S (монтаж в ТП), шт.</v>
      </c>
      <c r="C8" s="41">
        <f>C7*3</f>
        <v>3</v>
      </c>
      <c r="D8" s="27">
        <v>1411.76</v>
      </c>
      <c r="E8" s="29">
        <f>D8*C8</f>
        <v>4235.28</v>
      </c>
      <c r="F8" s="6"/>
      <c r="I8" s="50"/>
      <c r="J8" s="50"/>
      <c r="K8" s="50"/>
      <c r="L8" s="50"/>
      <c r="M8" s="50"/>
      <c r="N8" s="50"/>
      <c r="O8" s="50"/>
    </row>
    <row r="9" spans="1:15" ht="15.95" customHeight="1" x14ac:dyDescent="0.25">
      <c r="A9" s="63" t="s">
        <v>30</v>
      </c>
      <c r="B9" s="3" t="s">
        <v>39</v>
      </c>
      <c r="C9" s="41">
        <f>5*C7</f>
        <v>5</v>
      </c>
      <c r="D9" s="27">
        <v>105.88</v>
      </c>
      <c r="E9" s="29">
        <f>D9*C9</f>
        <v>529.4</v>
      </c>
      <c r="F9" s="6"/>
    </row>
    <row r="10" spans="1:15" ht="15.95" customHeight="1" x14ac:dyDescent="0.25">
      <c r="A10" s="63" t="s">
        <v>31</v>
      </c>
      <c r="B10" s="3" t="s">
        <v>35</v>
      </c>
      <c r="C10" s="41">
        <f>C7</f>
        <v>1</v>
      </c>
      <c r="D10" s="27">
        <v>588.24</v>
      </c>
      <c r="E10" s="29">
        <f>D10*C10</f>
        <v>588.24</v>
      </c>
      <c r="F10" s="6"/>
    </row>
    <row r="11" spans="1:15" ht="15.95" customHeight="1" x14ac:dyDescent="0.25">
      <c r="A11" s="63" t="s">
        <v>165</v>
      </c>
      <c r="B11" s="3" t="s">
        <v>158</v>
      </c>
      <c r="C11" s="41">
        <f>C8</f>
        <v>3</v>
      </c>
      <c r="D11" s="27">
        <v>294.12</v>
      </c>
      <c r="E11" s="29">
        <f>D11*C11</f>
        <v>882.36</v>
      </c>
      <c r="F11" s="6"/>
    </row>
    <row r="12" spans="1:15" ht="15.75" x14ac:dyDescent="0.25">
      <c r="A12" s="214" t="s">
        <v>174</v>
      </c>
      <c r="B12" s="215"/>
      <c r="C12" s="215"/>
      <c r="D12" s="216"/>
      <c r="E12" s="17">
        <f>SUBTOTAL(109,E7:E11)</f>
        <v>15263.28</v>
      </c>
      <c r="F12" s="6"/>
    </row>
    <row r="13" spans="1:15" ht="16.5" thickBot="1" x14ac:dyDescent="0.3">
      <c r="A13" s="70"/>
      <c r="B13" s="20"/>
      <c r="C13" s="19"/>
      <c r="D13" s="19"/>
      <c r="E13" s="19"/>
      <c r="F13" s="6"/>
    </row>
    <row r="14" spans="1:15" ht="20.100000000000001" customHeight="1" thickBot="1" x14ac:dyDescent="0.3">
      <c r="A14" s="71" t="s">
        <v>166</v>
      </c>
      <c r="B14" s="195" t="s">
        <v>13</v>
      </c>
      <c r="C14" s="195"/>
      <c r="D14" s="195"/>
      <c r="E14" s="195"/>
      <c r="F14" s="6"/>
    </row>
    <row r="15" spans="1:15" ht="15.95" customHeight="1" x14ac:dyDescent="0.25">
      <c r="A15" s="37" t="s">
        <v>4</v>
      </c>
      <c r="B15" s="28" t="s">
        <v>43</v>
      </c>
      <c r="C15" s="42">
        <f>C8</f>
        <v>3</v>
      </c>
      <c r="D15" s="15">
        <v>2100</v>
      </c>
      <c r="E15" s="35">
        <f>D15*C15</f>
        <v>6300</v>
      </c>
      <c r="F15" s="6"/>
    </row>
    <row r="16" spans="1:15" ht="15.95" customHeight="1" x14ac:dyDescent="0.25">
      <c r="A16" s="37" t="s">
        <v>5</v>
      </c>
      <c r="B16" s="3" t="s">
        <v>38</v>
      </c>
      <c r="C16" s="14">
        <f>C7</f>
        <v>1</v>
      </c>
      <c r="D16" s="15">
        <v>2700</v>
      </c>
      <c r="E16" s="13">
        <f>D16*C16</f>
        <v>2700</v>
      </c>
      <c r="F16" s="6"/>
    </row>
    <row r="17" spans="1:6" ht="15.95" customHeight="1" x14ac:dyDescent="0.25">
      <c r="A17" s="37" t="s">
        <v>21</v>
      </c>
      <c r="B17" s="3" t="s">
        <v>37</v>
      </c>
      <c r="C17" s="14">
        <f>C7</f>
        <v>1</v>
      </c>
      <c r="D17" s="15">
        <v>1500</v>
      </c>
      <c r="E17" s="13">
        <f>D17*C17</f>
        <v>1500</v>
      </c>
      <c r="F17" s="6"/>
    </row>
    <row r="18" spans="1:6" ht="15.95" customHeight="1" x14ac:dyDescent="0.25">
      <c r="A18" s="37" t="s">
        <v>22</v>
      </c>
      <c r="B18" s="3" t="s">
        <v>14</v>
      </c>
      <c r="C18" s="45">
        <f>C10</f>
        <v>1</v>
      </c>
      <c r="D18" s="15">
        <v>1800</v>
      </c>
      <c r="E18" s="13">
        <f>D18*C18</f>
        <v>1800</v>
      </c>
      <c r="F18" s="6"/>
    </row>
    <row r="19" spans="1:6" ht="15.75" x14ac:dyDescent="0.25">
      <c r="A19" s="214" t="s">
        <v>55</v>
      </c>
      <c r="B19" s="215"/>
      <c r="C19" s="215"/>
      <c r="D19" s="216"/>
      <c r="E19" s="17">
        <f>SUM(E15:E18)</f>
        <v>12300</v>
      </c>
      <c r="F19" s="6"/>
    </row>
  </sheetData>
  <sheetProtection formatCells="0" formatColumns="0" formatRows="0" insertHyperlinks="0" sort="0" autoFilter="0" pivotTables="0"/>
  <mergeCells count="7">
    <mergeCell ref="A19:D19"/>
    <mergeCell ref="B6:E6"/>
    <mergeCell ref="A12:D12"/>
    <mergeCell ref="B14:E14"/>
    <mergeCell ref="B1:E1"/>
    <mergeCell ref="B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opLeftCell="A4" workbookViewId="0">
      <selection activeCell="A14" sqref="A14:B14"/>
    </sheetView>
  </sheetViews>
  <sheetFormatPr defaultRowHeight="15" x14ac:dyDescent="0.25"/>
  <cols>
    <col min="1" max="1" width="6.28515625" customWidth="1"/>
    <col min="2" max="2" width="78.5703125" customWidth="1"/>
    <col min="3" max="3" width="13.140625" customWidth="1"/>
    <col min="4" max="4" width="12.85546875" customWidth="1"/>
    <col min="5" max="5" width="16.85546875" customWidth="1"/>
    <col min="6" max="6" width="4.42578125" customWidth="1"/>
    <col min="7" max="7" width="10.28515625" bestFit="1" customWidth="1"/>
    <col min="13" max="13" width="10.85546875" customWidth="1"/>
  </cols>
  <sheetData>
    <row r="1" spans="1:6" ht="15.75" x14ac:dyDescent="0.25">
      <c r="B1" s="199" t="s">
        <v>25</v>
      </c>
      <c r="C1" s="199"/>
      <c r="D1" s="199"/>
      <c r="E1" s="199"/>
    </row>
    <row r="2" spans="1:6" ht="15.75" x14ac:dyDescent="0.25">
      <c r="B2" s="200" t="s">
        <v>98</v>
      </c>
      <c r="C2" s="200"/>
      <c r="D2" s="200"/>
      <c r="E2" s="200"/>
    </row>
    <row r="3" spans="1:6" ht="41.25" customHeight="1" x14ac:dyDescent="0.25">
      <c r="A3" s="201" t="str">
        <f>"Садоводческое некоммерческое товарищество «" &amp;'Общий лист'!E2&amp;"»"</f>
        <v>Садоводческое некоммерческое товарищество «Южное»</v>
      </c>
      <c r="B3" s="201"/>
      <c r="C3" s="201"/>
      <c r="D3" s="201"/>
      <c r="E3" s="201"/>
    </row>
    <row r="4" spans="1:6" ht="50.25" customHeight="1" thickBot="1" x14ac:dyDescent="0.3">
      <c r="A4" s="53" t="s">
        <v>0</v>
      </c>
      <c r="B4" s="53" t="s">
        <v>1</v>
      </c>
      <c r="C4" s="54" t="s">
        <v>2</v>
      </c>
      <c r="D4" s="54" t="s">
        <v>185</v>
      </c>
      <c r="E4" s="54" t="s">
        <v>186</v>
      </c>
    </row>
    <row r="5" spans="1:6" ht="20.100000000000001" customHeight="1" thickBot="1" x14ac:dyDescent="0.3">
      <c r="A5" s="39">
        <v>5</v>
      </c>
      <c r="B5" s="195" t="s">
        <v>17</v>
      </c>
      <c r="C5" s="195"/>
      <c r="D5" s="195"/>
      <c r="E5" s="195"/>
      <c r="F5" s="6"/>
    </row>
    <row r="6" spans="1:6" ht="15.95" customHeight="1" x14ac:dyDescent="0.25">
      <c r="A6" s="37" t="s">
        <v>15</v>
      </c>
      <c r="B6" s="28" t="s">
        <v>176</v>
      </c>
      <c r="C6" s="42">
        <f>C7+C8</f>
        <v>1</v>
      </c>
      <c r="D6" s="15">
        <v>367.65</v>
      </c>
      <c r="E6" s="35">
        <f>D6*C6</f>
        <v>367.65</v>
      </c>
      <c r="F6" s="6"/>
    </row>
    <row r="7" spans="1:6" ht="15.95" customHeight="1" x14ac:dyDescent="0.25">
      <c r="A7" s="37" t="s">
        <v>16</v>
      </c>
      <c r="B7" s="3" t="s">
        <v>46</v>
      </c>
      <c r="C7" s="46">
        <f>IF('Общий лист'!E24=1,CEILING(('Общий лист'!E5+'Общий лист'!E6+'Общий лист'!E10)/500,1),'Общий лист'!E24)</f>
        <v>1</v>
      </c>
      <c r="D7" s="11">
        <f>'Общий лист'!F18</f>
        <v>39650</v>
      </c>
      <c r="E7" s="13">
        <f>D7*C7</f>
        <v>39650</v>
      </c>
      <c r="F7" s="6"/>
    </row>
    <row r="8" spans="1:6" ht="15.95" customHeight="1" x14ac:dyDescent="0.25">
      <c r="A8" s="37" t="s">
        <v>23</v>
      </c>
      <c r="B8" s="7" t="s">
        <v>47</v>
      </c>
      <c r="C8" s="46">
        <f>'Общий лист'!F24</f>
        <v>0</v>
      </c>
      <c r="D8" s="11">
        <f>'Общий лист'!F17</f>
        <v>9822</v>
      </c>
      <c r="E8" s="13">
        <f>D8*C8</f>
        <v>0</v>
      </c>
      <c r="F8" s="6"/>
    </row>
    <row r="9" spans="1:6" ht="15.75" customHeight="1" x14ac:dyDescent="0.25">
      <c r="A9" s="37" t="s">
        <v>34</v>
      </c>
      <c r="B9" s="3" t="s">
        <v>49</v>
      </c>
      <c r="C9" s="14">
        <f>C8+C7</f>
        <v>1</v>
      </c>
      <c r="D9" s="11">
        <v>94.12</v>
      </c>
      <c r="E9" s="13">
        <f>D9*C9</f>
        <v>94.12</v>
      </c>
      <c r="F9" s="6"/>
    </row>
    <row r="10" spans="1:6" ht="15.95" customHeight="1" x14ac:dyDescent="0.25">
      <c r="A10" s="37" t="s">
        <v>167</v>
      </c>
      <c r="B10" s="18" t="s">
        <v>32</v>
      </c>
      <c r="C10" s="14">
        <f>8*(C6)</f>
        <v>8</v>
      </c>
      <c r="D10" s="11">
        <v>47.06</v>
      </c>
      <c r="E10" s="11">
        <f>D10*C10</f>
        <v>376.48</v>
      </c>
      <c r="F10" s="6"/>
    </row>
    <row r="11" spans="1:6" ht="15.95" customHeight="1" x14ac:dyDescent="0.25">
      <c r="A11" s="37" t="s">
        <v>168</v>
      </c>
      <c r="B11" s="8" t="s">
        <v>48</v>
      </c>
      <c r="C11" s="14">
        <f>(C8+C7)*4</f>
        <v>4</v>
      </c>
      <c r="D11" s="11">
        <v>94.12</v>
      </c>
      <c r="E11" s="11">
        <f>D11*C11</f>
        <v>376.48</v>
      </c>
      <c r="F11" s="6"/>
    </row>
    <row r="12" spans="1:6" ht="15.95" customHeight="1" x14ac:dyDescent="0.25">
      <c r="A12" s="37" t="s">
        <v>169</v>
      </c>
      <c r="B12" s="3" t="s">
        <v>33</v>
      </c>
      <c r="C12" s="14">
        <f>(C8+C7)*4</f>
        <v>4</v>
      </c>
      <c r="D12" s="11">
        <v>23.53</v>
      </c>
      <c r="E12" s="11">
        <f>D12*C12</f>
        <v>94.12</v>
      </c>
      <c r="F12" s="6"/>
    </row>
    <row r="13" spans="1:6" ht="15.95" customHeight="1" x14ac:dyDescent="0.25">
      <c r="A13" s="37" t="s">
        <v>170</v>
      </c>
      <c r="B13" s="3" t="s">
        <v>64</v>
      </c>
      <c r="C13" s="21">
        <f>6*C6</f>
        <v>6</v>
      </c>
      <c r="D13" s="11">
        <v>1.76</v>
      </c>
      <c r="E13" s="13">
        <f>C13*D13</f>
        <v>10.56</v>
      </c>
      <c r="F13" s="6"/>
    </row>
    <row r="14" spans="1:6" ht="15.95" customHeight="1" x14ac:dyDescent="0.25">
      <c r="A14" s="37" t="s">
        <v>171</v>
      </c>
      <c r="B14" s="3" t="s">
        <v>128</v>
      </c>
      <c r="C14" s="21">
        <f>IF('Общий лист'!E25="да",(C6*5),0)</f>
        <v>0</v>
      </c>
      <c r="D14" s="11">
        <v>35.29</v>
      </c>
      <c r="E14" s="13">
        <f>C14*D14</f>
        <v>0</v>
      </c>
      <c r="F14" s="6"/>
    </row>
    <row r="15" spans="1:6" ht="15.95" customHeight="1" x14ac:dyDescent="0.25">
      <c r="A15" s="37" t="s">
        <v>172</v>
      </c>
      <c r="B15" s="3" t="s">
        <v>112</v>
      </c>
      <c r="C15" s="21">
        <f>(C7+C8)*2</f>
        <v>2</v>
      </c>
      <c r="D15" s="11">
        <v>176.47</v>
      </c>
      <c r="E15" s="13">
        <f>C15*D15</f>
        <v>352.94</v>
      </c>
      <c r="F15" s="6"/>
    </row>
    <row r="16" spans="1:6" ht="15.95" customHeight="1" x14ac:dyDescent="0.25">
      <c r="A16" s="37" t="s">
        <v>178</v>
      </c>
      <c r="B16" s="3" t="s">
        <v>177</v>
      </c>
      <c r="C16" s="21">
        <f>C8*4</f>
        <v>0</v>
      </c>
      <c r="D16" s="11">
        <v>35.29</v>
      </c>
      <c r="E16" s="13">
        <f>C16*D16</f>
        <v>0</v>
      </c>
      <c r="F16" s="6"/>
    </row>
    <row r="17" spans="1:6" ht="15.75" x14ac:dyDescent="0.25">
      <c r="A17" s="214" t="s">
        <v>59</v>
      </c>
      <c r="B17" s="215"/>
      <c r="C17" s="215"/>
      <c r="D17" s="216"/>
      <c r="E17" s="31">
        <f>SUBTOTAL(109,E6:E16)</f>
        <v>41322.35</v>
      </c>
    </row>
    <row r="18" spans="1:6" s="6" customFormat="1" ht="16.5" thickBot="1" x14ac:dyDescent="0.3">
      <c r="A18" s="72"/>
      <c r="B18" s="72"/>
      <c r="C18" s="72"/>
      <c r="D18" s="72"/>
      <c r="E18" s="73"/>
    </row>
    <row r="19" spans="1:6" ht="16.5" thickBot="1" x14ac:dyDescent="0.3">
      <c r="A19" s="39">
        <v>6</v>
      </c>
      <c r="B19" s="39" t="s">
        <v>97</v>
      </c>
      <c r="C19" s="39"/>
      <c r="D19" s="39"/>
      <c r="E19" s="39"/>
    </row>
    <row r="20" spans="1:6" ht="15.95" customHeight="1" x14ac:dyDescent="0.25">
      <c r="A20" s="37" t="s">
        <v>20</v>
      </c>
      <c r="B20" s="3" t="s">
        <v>27</v>
      </c>
      <c r="C20" s="14">
        <f>C7</f>
        <v>1</v>
      </c>
      <c r="D20" s="15">
        <v>4117.6499999999996</v>
      </c>
      <c r="E20" s="13">
        <f>D20*C20</f>
        <v>4117.6499999999996</v>
      </c>
      <c r="F20" s="6"/>
    </row>
    <row r="21" spans="1:6" ht="15.95" customHeight="1" x14ac:dyDescent="0.25">
      <c r="A21" s="37" t="s">
        <v>18</v>
      </c>
      <c r="B21" s="3" t="s">
        <v>24</v>
      </c>
      <c r="C21" s="14">
        <f>C8</f>
        <v>0</v>
      </c>
      <c r="D21" s="11">
        <v>3529.41</v>
      </c>
      <c r="E21" s="13">
        <f>D21*C21</f>
        <v>0</v>
      </c>
      <c r="F21" s="6"/>
    </row>
    <row r="22" spans="1:6" ht="17.25" customHeight="1" x14ac:dyDescent="0.25">
      <c r="A22" s="214" t="s">
        <v>173</v>
      </c>
      <c r="B22" s="215"/>
      <c r="C22" s="215"/>
      <c r="D22" s="216"/>
      <c r="E22" s="31">
        <f>SUBTOTAL(109,E20:E21)</f>
        <v>4117.6499999999996</v>
      </c>
      <c r="F22" s="6"/>
    </row>
    <row r="23" spans="1:6" ht="15.75" x14ac:dyDescent="0.25">
      <c r="A23" s="19"/>
      <c r="B23" s="19"/>
      <c r="C23" s="19"/>
      <c r="D23" s="19"/>
      <c r="E23" s="19"/>
    </row>
    <row r="24" spans="1:6" ht="15.75" x14ac:dyDescent="0.25">
      <c r="A24" s="48"/>
      <c r="B24" s="49"/>
      <c r="C24" s="19"/>
      <c r="D24" s="30"/>
      <c r="E24" s="32"/>
    </row>
  </sheetData>
  <sheetProtection formatCells="0" formatColumns="0" formatRows="0" insertHyperlinks="0" sort="0" autoFilter="0" pivotTables="0"/>
  <mergeCells count="6">
    <mergeCell ref="A22:D22"/>
    <mergeCell ref="B1:E1"/>
    <mergeCell ref="B2:E2"/>
    <mergeCell ref="A3:E3"/>
    <mergeCell ref="B5:E5"/>
    <mergeCell ref="A17:D17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17" sqref="C17"/>
    </sheetView>
  </sheetViews>
  <sheetFormatPr defaultRowHeight="15" x14ac:dyDescent="0.25"/>
  <cols>
    <col min="1" max="1" width="6.28515625" customWidth="1"/>
    <col min="2" max="2" width="78.5703125" customWidth="1"/>
    <col min="3" max="3" width="13.140625" customWidth="1"/>
    <col min="4" max="4" width="12.85546875" customWidth="1"/>
    <col min="5" max="5" width="16.85546875" customWidth="1"/>
    <col min="6" max="6" width="4.42578125" customWidth="1"/>
    <col min="7" max="7" width="11.28515625" customWidth="1"/>
    <col min="8" max="8" width="12" bestFit="1" customWidth="1"/>
    <col min="13" max="13" width="10.85546875" customWidth="1"/>
  </cols>
  <sheetData>
    <row r="1" spans="1:6" ht="15.75" x14ac:dyDescent="0.25">
      <c r="B1" s="199" t="s">
        <v>25</v>
      </c>
      <c r="C1" s="199"/>
      <c r="D1" s="199"/>
      <c r="E1" s="199"/>
    </row>
    <row r="2" spans="1:6" ht="15.75" x14ac:dyDescent="0.25">
      <c r="B2" s="200" t="s">
        <v>159</v>
      </c>
      <c r="C2" s="200"/>
      <c r="D2" s="200"/>
      <c r="E2" s="200"/>
    </row>
    <row r="3" spans="1:6" ht="41.25" customHeight="1" x14ac:dyDescent="0.25">
      <c r="A3" s="201" t="str">
        <f>"Садоводческое некоммерческое товарищество «" &amp;'Общий лист'!E2&amp;"»"</f>
        <v>Садоводческое некоммерческое товарищество «Южное»</v>
      </c>
      <c r="B3" s="201"/>
      <c r="C3" s="201"/>
      <c r="D3" s="201"/>
      <c r="E3" s="201"/>
    </row>
    <row r="4" spans="1:6" ht="36" customHeight="1" thickBot="1" x14ac:dyDescent="0.3">
      <c r="A4" s="53" t="s">
        <v>0</v>
      </c>
      <c r="B4" s="53" t="s">
        <v>1</v>
      </c>
      <c r="C4" s="54" t="s">
        <v>2</v>
      </c>
      <c r="D4" s="54" t="s">
        <v>236</v>
      </c>
      <c r="E4" s="54" t="s">
        <v>44</v>
      </c>
    </row>
    <row r="5" spans="1:6" ht="20.100000000000001" customHeight="1" thickBot="1" x14ac:dyDescent="0.3">
      <c r="A5" s="39" t="s">
        <v>56</v>
      </c>
      <c r="B5" s="195" t="s">
        <v>113</v>
      </c>
      <c r="C5" s="195"/>
      <c r="D5" s="195"/>
      <c r="E5" s="195"/>
      <c r="F5" s="6"/>
    </row>
    <row r="6" spans="1:6" ht="15.95" customHeight="1" x14ac:dyDescent="0.25">
      <c r="A6" s="37" t="s">
        <v>57</v>
      </c>
      <c r="B6" s="3" t="s">
        <v>41</v>
      </c>
      <c r="C6" s="21">
        <f>2*('Общий лист'!E21)</f>
        <v>0</v>
      </c>
      <c r="D6" s="11">
        <v>100</v>
      </c>
      <c r="E6" s="13">
        <f>C6*D6</f>
        <v>0</v>
      </c>
      <c r="F6" s="6"/>
    </row>
    <row r="7" spans="1:6" ht="15.95" customHeight="1" x14ac:dyDescent="0.25">
      <c r="A7" s="37" t="s">
        <v>81</v>
      </c>
      <c r="B7" s="3" t="s">
        <v>36</v>
      </c>
      <c r="C7" s="21">
        <f>C6</f>
        <v>0</v>
      </c>
      <c r="D7" s="11">
        <v>100</v>
      </c>
      <c r="E7" s="13">
        <f>C7*D7</f>
        <v>0</v>
      </c>
      <c r="F7" s="6"/>
    </row>
    <row r="8" spans="1:6" ht="15.95" customHeight="1" x14ac:dyDescent="0.25">
      <c r="A8" s="37" t="s">
        <v>82</v>
      </c>
      <c r="B8" s="3" t="s">
        <v>76</v>
      </c>
      <c r="C8" s="21">
        <f>C9+C10</f>
        <v>0</v>
      </c>
      <c r="D8" s="11">
        <v>100</v>
      </c>
      <c r="E8" s="13">
        <f>C8*D8</f>
        <v>0</v>
      </c>
      <c r="F8" s="6"/>
    </row>
    <row r="9" spans="1:6" ht="15.95" customHeight="1" x14ac:dyDescent="0.25">
      <c r="A9" s="37" t="s">
        <v>122</v>
      </c>
      <c r="B9" s="62" t="s">
        <v>77</v>
      </c>
      <c r="C9" s="65">
        <f>IF('Общий лист'!E4="СИП",'Общий лист'!E22*2,0)</f>
        <v>0</v>
      </c>
      <c r="D9" s="11"/>
      <c r="E9" s="13"/>
      <c r="F9" s="6"/>
    </row>
    <row r="10" spans="1:6" ht="15.95" customHeight="1" x14ac:dyDescent="0.25">
      <c r="A10" s="37" t="s">
        <v>123</v>
      </c>
      <c r="B10" s="62" t="s">
        <v>79</v>
      </c>
      <c r="C10" s="65">
        <f>IF('Общий лист'!E4="СИП",'Общий лист'!E23*4,0)</f>
        <v>0</v>
      </c>
      <c r="D10" s="11"/>
      <c r="E10" s="13"/>
      <c r="F10" s="6"/>
    </row>
    <row r="11" spans="1:6" ht="15.95" customHeight="1" x14ac:dyDescent="0.25">
      <c r="A11" s="37" t="s">
        <v>82</v>
      </c>
      <c r="B11" s="3" t="s">
        <v>151</v>
      </c>
      <c r="C11" s="21">
        <f>C12+C13</f>
        <v>0</v>
      </c>
      <c r="D11" s="11">
        <v>100</v>
      </c>
      <c r="E11" s="13">
        <f>C11*D11</f>
        <v>0</v>
      </c>
      <c r="F11" s="6"/>
    </row>
    <row r="12" spans="1:6" ht="15.95" customHeight="1" x14ac:dyDescent="0.25">
      <c r="A12" s="37" t="s">
        <v>122</v>
      </c>
      <c r="B12" s="62" t="s">
        <v>150</v>
      </c>
      <c r="C12" s="65">
        <f>IF('Общий лист'!E4="СИП",0,'Общий лист'!E22*2)</f>
        <v>0</v>
      </c>
      <c r="D12" s="11"/>
      <c r="E12" s="13"/>
      <c r="F12" s="6"/>
    </row>
    <row r="13" spans="1:6" ht="15.95" customHeight="1" x14ac:dyDescent="0.25">
      <c r="A13" s="37" t="s">
        <v>123</v>
      </c>
      <c r="B13" s="62" t="s">
        <v>149</v>
      </c>
      <c r="C13" s="65">
        <f>IF('Общий лист'!E4="СИП",0,'Общий лист'!E23*4)</f>
        <v>0</v>
      </c>
      <c r="D13" s="11"/>
      <c r="E13" s="13"/>
      <c r="F13" s="6"/>
    </row>
    <row r="14" spans="1:6" ht="15.95" customHeight="1" x14ac:dyDescent="0.25">
      <c r="A14" s="37" t="s">
        <v>83</v>
      </c>
      <c r="B14" s="3" t="s">
        <v>138</v>
      </c>
      <c r="C14" s="21">
        <f>C15+C16</f>
        <v>0</v>
      </c>
      <c r="D14" s="11">
        <v>100</v>
      </c>
      <c r="E14" s="13">
        <f>C14*D14</f>
        <v>0</v>
      </c>
      <c r="F14" s="6"/>
    </row>
    <row r="15" spans="1:6" ht="15.95" customHeight="1" x14ac:dyDescent="0.25">
      <c r="A15" s="37" t="s">
        <v>124</v>
      </c>
      <c r="B15" s="62" t="s">
        <v>78</v>
      </c>
      <c r="C15" s="65">
        <f>'Общий лист'!E22*2</f>
        <v>0</v>
      </c>
      <c r="D15" s="11"/>
      <c r="E15" s="13"/>
      <c r="F15" s="6"/>
    </row>
    <row r="16" spans="1:6" ht="15.95" customHeight="1" x14ac:dyDescent="0.25">
      <c r="A16" s="37" t="s">
        <v>125</v>
      </c>
      <c r="B16" s="62" t="s">
        <v>80</v>
      </c>
      <c r="C16" s="65">
        <f>'Общий лист'!E23*4</f>
        <v>0</v>
      </c>
      <c r="D16" s="11"/>
      <c r="E16" s="13"/>
      <c r="F16" s="6"/>
    </row>
    <row r="17" spans="1:15" ht="15.95" customHeight="1" x14ac:dyDescent="0.25">
      <c r="A17" s="37" t="s">
        <v>84</v>
      </c>
      <c r="B17" s="3" t="s">
        <v>115</v>
      </c>
      <c r="C17" s="21">
        <f>30*'Общий лист'!E22</f>
        <v>0</v>
      </c>
      <c r="D17" s="11">
        <v>100</v>
      </c>
      <c r="E17" s="13">
        <f>C17*D17</f>
        <v>0</v>
      </c>
      <c r="F17" s="6"/>
      <c r="G17" s="1"/>
    </row>
    <row r="18" spans="1:15" ht="15.95" customHeight="1" x14ac:dyDescent="0.25">
      <c r="A18" s="37" t="s">
        <v>85</v>
      </c>
      <c r="B18" s="3" t="s">
        <v>116</v>
      </c>
      <c r="C18" s="21">
        <f>30*'Общий лист'!E23</f>
        <v>0</v>
      </c>
      <c r="D18" s="11">
        <v>100</v>
      </c>
      <c r="E18" s="13">
        <f>C18*D18</f>
        <v>0</v>
      </c>
      <c r="F18" s="6"/>
      <c r="H18" s="1"/>
    </row>
    <row r="19" spans="1:15" ht="15.95" customHeight="1" x14ac:dyDescent="0.25">
      <c r="A19" s="37" t="s">
        <v>86</v>
      </c>
      <c r="B19" s="3" t="s">
        <v>117</v>
      </c>
      <c r="C19" s="21">
        <f>2*'Общий лист'!E21</f>
        <v>0</v>
      </c>
      <c r="D19" s="11">
        <v>100</v>
      </c>
      <c r="E19" s="13">
        <f>C19*D19</f>
        <v>0</v>
      </c>
      <c r="F19" s="6"/>
    </row>
    <row r="20" spans="1:15" ht="15.95" customHeight="1" thickBot="1" x14ac:dyDescent="0.3">
      <c r="A20" s="37" t="s">
        <v>87</v>
      </c>
      <c r="B20" s="3" t="s">
        <v>118</v>
      </c>
      <c r="C20" s="21">
        <f>2*'Общий лист'!E21</f>
        <v>0</v>
      </c>
      <c r="D20" s="11">
        <v>100</v>
      </c>
      <c r="E20" s="13">
        <f>C20*D20</f>
        <v>0</v>
      </c>
      <c r="F20" s="6"/>
    </row>
    <row r="21" spans="1:15" ht="15.95" customHeight="1" thickBot="1" x14ac:dyDescent="0.3">
      <c r="A21" s="217" t="s">
        <v>51</v>
      </c>
      <c r="B21" s="218"/>
      <c r="C21" s="218"/>
      <c r="D21" s="219"/>
      <c r="E21" s="67">
        <f>SUBTOTAL(109,E6:E20)</f>
        <v>0</v>
      </c>
      <c r="F21" s="6"/>
      <c r="G21" s="1"/>
      <c r="H21" s="1"/>
      <c r="I21" s="1"/>
    </row>
    <row r="22" spans="1:15" ht="15.95" customHeight="1" thickBot="1" x14ac:dyDescent="0.3">
      <c r="A22" s="58"/>
      <c r="B22" s="59"/>
      <c r="C22" s="66"/>
      <c r="D22" s="60"/>
      <c r="E22" s="61"/>
      <c r="F22" s="6"/>
    </row>
    <row r="23" spans="1:15" ht="20.100000000000001" customHeight="1" thickBot="1" x14ac:dyDescent="0.3">
      <c r="A23" s="39" t="s">
        <v>60</v>
      </c>
      <c r="B23" s="195" t="s">
        <v>9</v>
      </c>
      <c r="C23" s="195"/>
      <c r="D23" s="195"/>
      <c r="E23" s="195"/>
      <c r="F23" s="6"/>
    </row>
    <row r="24" spans="1:15" ht="15.75" x14ac:dyDescent="0.25">
      <c r="A24" s="40" t="s">
        <v>6</v>
      </c>
      <c r="B24" s="33" t="s">
        <v>119</v>
      </c>
      <c r="C24" s="41">
        <f>'Общий лист'!E22</f>
        <v>0</v>
      </c>
      <c r="D24" s="15">
        <v>1500</v>
      </c>
      <c r="E24" s="35">
        <f>D24*C24</f>
        <v>0</v>
      </c>
      <c r="F24" s="6"/>
      <c r="I24" s="50"/>
      <c r="K24" s="50"/>
      <c r="L24" s="50"/>
      <c r="M24" s="50"/>
      <c r="N24" s="50"/>
      <c r="O24" s="50"/>
    </row>
    <row r="25" spans="1:15" ht="36" customHeight="1" thickBot="1" x14ac:dyDescent="0.3">
      <c r="A25" s="4" t="s">
        <v>7</v>
      </c>
      <c r="B25" s="33" t="s">
        <v>120</v>
      </c>
      <c r="C25" s="41">
        <f>'Общий лист'!E23</f>
        <v>0</v>
      </c>
      <c r="D25" s="15">
        <v>2500</v>
      </c>
      <c r="E25" s="34">
        <f>D25*C25</f>
        <v>0</v>
      </c>
      <c r="F25" s="6"/>
      <c r="I25" s="50"/>
      <c r="J25" s="57"/>
      <c r="K25" s="51"/>
      <c r="L25" s="52"/>
      <c r="M25" s="52"/>
      <c r="N25" s="51"/>
      <c r="O25" s="50"/>
    </row>
    <row r="26" spans="1:15" ht="16.5" thickBot="1" x14ac:dyDescent="0.3">
      <c r="A26" s="196" t="s">
        <v>95</v>
      </c>
      <c r="B26" s="197"/>
      <c r="C26" s="197"/>
      <c r="D26" s="198"/>
      <c r="E26" s="67">
        <f>E24+E25</f>
        <v>0</v>
      </c>
      <c r="F26" s="6"/>
      <c r="I26" s="50"/>
      <c r="J26" s="56"/>
      <c r="K26" s="50"/>
      <c r="M26" s="50"/>
      <c r="N26" s="50"/>
      <c r="O26" s="50"/>
    </row>
  </sheetData>
  <sheetProtection formatCells="0" formatColumns="0" formatRows="0" insertHyperlinks="0" sort="0" autoFilter="0" pivotTables="0"/>
  <mergeCells count="7">
    <mergeCell ref="A26:D26"/>
    <mergeCell ref="B1:E1"/>
    <mergeCell ref="B2:E2"/>
    <mergeCell ref="A3:E3"/>
    <mergeCell ref="B5:E5"/>
    <mergeCell ref="A21:D21"/>
    <mergeCell ref="B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Общий лист</vt:lpstr>
      <vt:lpstr>Монтаж на сущ. место</vt:lpstr>
      <vt:lpstr>Монтаж на опоре</vt:lpstr>
      <vt:lpstr>Монтаж на фасаде</vt:lpstr>
      <vt:lpstr>ПУ в ТП</vt:lpstr>
      <vt:lpstr>Оборудование связи ПНР ПИР</vt:lpstr>
      <vt:lpstr>Замена отходящей линии</vt:lpstr>
      <vt:lpstr>'Монтаж на сущ. место'!Область_печати</vt:lpstr>
    </vt:vector>
  </TitlesOfParts>
  <Company>temp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e.kozeva</dc:creator>
  <cp:lastModifiedBy>Козырев Антон Евгеньевич</cp:lastModifiedBy>
  <cp:lastPrinted>2015-04-08T12:12:52Z</cp:lastPrinted>
  <dcterms:created xsi:type="dcterms:W3CDTF">2014-11-26T09:17:19Z</dcterms:created>
  <dcterms:modified xsi:type="dcterms:W3CDTF">2016-04-15T06:51:23Z</dcterms:modified>
</cp:coreProperties>
</file>